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855" windowWidth="20115" windowHeight="7215" activeTab="1"/>
  </bookViews>
  <sheets>
    <sheet name="DESONERADO" sheetId="18" r:id="rId1"/>
    <sheet name="DESONERADO RESUMIDA" sheetId="19" r:id="rId2"/>
    <sheet name="Cronograma " sheetId="13" r:id="rId3"/>
    <sheet name="ONERADO" sheetId="17" r:id="rId4"/>
  </sheets>
  <externalReferences>
    <externalReference r:id="rId5"/>
    <externalReference r:id="rId6"/>
    <externalReference r:id="rId7"/>
    <externalReference r:id="rId8"/>
  </externalReferences>
  <definedNames>
    <definedName name="__shared_1_0_0" localSheetId="0">#REF!*#REF!</definedName>
    <definedName name="__shared_1_0_0" localSheetId="1">#REF!*#REF!</definedName>
    <definedName name="__shared_1_0_0" localSheetId="3">#REF!*#REF!</definedName>
    <definedName name="__shared_1_0_0">#REF!*#REF!</definedName>
    <definedName name="__shared_1_1_0" localSheetId="0">#REF!*#REF!</definedName>
    <definedName name="__shared_1_1_0" localSheetId="1">#REF!*#REF!</definedName>
    <definedName name="__shared_1_1_0" localSheetId="3">#REF!*#REF!</definedName>
    <definedName name="__shared_1_1_0">#REF!*#REF!</definedName>
    <definedName name="__shared_1_2_0" localSheetId="0">#REF!*#REF!</definedName>
    <definedName name="__shared_1_2_0" localSheetId="1">#REF!*#REF!</definedName>
    <definedName name="__shared_1_2_0" localSheetId="3">#REF!*#REF!</definedName>
    <definedName name="__shared_1_2_0">#REF!*#REF!</definedName>
    <definedName name="__shared_1_3_0" localSheetId="0">#REF!*#REF!</definedName>
    <definedName name="__shared_1_3_0" localSheetId="1">#REF!*#REF!</definedName>
    <definedName name="__shared_1_3_0" localSheetId="3">#REF!*#REF!</definedName>
    <definedName name="__shared_1_3_0">#REF!*#REF!</definedName>
    <definedName name="__shared_1_3_1" localSheetId="0">#REF!*#REF!</definedName>
    <definedName name="__shared_1_3_1" localSheetId="1">#REF!*#REF!</definedName>
    <definedName name="__shared_1_3_1" localSheetId="3">#REF!*#REF!</definedName>
    <definedName name="__shared_1_3_1">#REF!*#REF!</definedName>
    <definedName name="__shared_1_4_0" localSheetId="0">#REF!*#REF!</definedName>
    <definedName name="__shared_1_4_0" localSheetId="1">#REF!*#REF!</definedName>
    <definedName name="__shared_1_4_0" localSheetId="3">#REF!*#REF!</definedName>
    <definedName name="__shared_1_4_0">#REF!*#REF!</definedName>
    <definedName name="__shared_1_5_0" localSheetId="0">#REF!*#REF!</definedName>
    <definedName name="__shared_1_5_0" localSheetId="1">#REF!*#REF!</definedName>
    <definedName name="__shared_1_5_0" localSheetId="3">#REF!*#REF!</definedName>
    <definedName name="__shared_1_5_0">#REF!*#REF!</definedName>
    <definedName name="__shared_2_0_0" localSheetId="0">#REF!*#REF!</definedName>
    <definedName name="__shared_2_0_0" localSheetId="1">#REF!*#REF!</definedName>
    <definedName name="__shared_2_0_0" localSheetId="3">#REF!*#REF!</definedName>
    <definedName name="__shared_2_0_0">#REF!*#REF!</definedName>
    <definedName name="__shared_3_0_0" localSheetId="0">SUM(#REF!)</definedName>
    <definedName name="__shared_3_0_0" localSheetId="1">SUM(#REF!)</definedName>
    <definedName name="__shared_3_0_0" localSheetId="3">SUM(#REF!)</definedName>
    <definedName name="__shared_3_0_0">SUM(#REF!)</definedName>
    <definedName name="_Key1" localSheetId="0" hidden="1">#REF!</definedName>
    <definedName name="_Key1" localSheetId="1" hidden="1">#REF!</definedName>
    <definedName name="_Key1" localSheetId="3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3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localSheetId="3" hidden="1">#REF!</definedName>
    <definedName name="_Sort" hidden="1">#REF!</definedName>
    <definedName name="_xlnm.Extract" localSheetId="2">'Cronograma '!#REF!</definedName>
    <definedName name="_xlnm.Print_Area" localSheetId="2">'Cronograma '!$A$1:$G$25</definedName>
    <definedName name="_xlnm.Print_Area" localSheetId="0">DESONERADO!$A$1:$I$152</definedName>
    <definedName name="_xlnm.Print_Area" localSheetId="1">'DESONERADO RESUMIDA'!$A$1:$I$46</definedName>
    <definedName name="_xlnm.Print_Area" localSheetId="3">ONERADO!$A$1:$I$152</definedName>
    <definedName name="_xlnm.Database" localSheetId="0">#REF!</definedName>
    <definedName name="_xlnm.Database" localSheetId="1">#REF!</definedName>
    <definedName name="_xlnm.Database" localSheetId="3">#REF!</definedName>
    <definedName name="_xlnm.Database">#REF!</definedName>
    <definedName name="BDI" localSheetId="2">#REF!</definedName>
    <definedName name="BDI" localSheetId="0">#REF!</definedName>
    <definedName name="BDI" localSheetId="1">#REF!</definedName>
    <definedName name="BDI" localSheetId="3">#REF!</definedName>
    <definedName name="BDI">#REF!</definedName>
    <definedName name="_xlnm.Criteria" localSheetId="2">'Cronograma '!#REF!</definedName>
    <definedName name="cronog" localSheetId="0">#REF!</definedName>
    <definedName name="cronog" localSheetId="1">#REF!</definedName>
    <definedName name="cronog" localSheetId="3">#REF!</definedName>
    <definedName name="cronog">#REF!</definedName>
    <definedName name="MEM_A" localSheetId="0">#REF!</definedName>
    <definedName name="MEM_A" localSheetId="1">#REF!</definedName>
    <definedName name="MEM_A" localSheetId="3">#REF!</definedName>
    <definedName name="MEM_A">#REF!</definedName>
    <definedName name="MEN_B" localSheetId="0">#REF!</definedName>
    <definedName name="MEN_B" localSheetId="1">#REF!</definedName>
    <definedName name="MEN_B" localSheetId="3">#REF!</definedName>
    <definedName name="MEN_B">#REF!</definedName>
    <definedName name="OnerADO" localSheetId="0">#REF!</definedName>
    <definedName name="OnerADO" localSheetId="1">#REF!</definedName>
    <definedName name="OnerADO" localSheetId="3">#REF!</definedName>
    <definedName name="OnerADO">#REF!</definedName>
    <definedName name="ORÇ_A" localSheetId="0">#REF!</definedName>
    <definedName name="ORÇ_A" localSheetId="1">#REF!</definedName>
    <definedName name="ORÇ_A" localSheetId="3">#REF!</definedName>
    <definedName name="ORÇ_A">#REF!</definedName>
    <definedName name="ORÇ_B" localSheetId="0">#REF!</definedName>
    <definedName name="ORÇ_B" localSheetId="1">#REF!</definedName>
    <definedName name="ORÇ_B" localSheetId="3">#REF!</definedName>
    <definedName name="ORÇ_B">#REF!</definedName>
    <definedName name="ORÇ_D" localSheetId="0">#REF!</definedName>
    <definedName name="ORÇ_D" localSheetId="1">#REF!</definedName>
    <definedName name="ORÇ_D" localSheetId="3">#REF!</definedName>
    <definedName name="ORÇ_D">#REF!</definedName>
    <definedName name="orcb" localSheetId="0">#REF!</definedName>
    <definedName name="orcb" localSheetId="1">#REF!</definedName>
    <definedName name="orcb" localSheetId="3">#REF!</definedName>
    <definedName name="orcb">#REF!</definedName>
    <definedName name="pc" localSheetId="0">#REF!</definedName>
    <definedName name="pc" localSheetId="1">#REF!</definedName>
    <definedName name="pc" localSheetId="3">#REF!</definedName>
    <definedName name="pc">#REF!</definedName>
    <definedName name="_xlnm.Print_Titles" localSheetId="2">'Cronograma '!$10:$12</definedName>
    <definedName name="_xlnm.Print_Titles" localSheetId="0">DESONERADO!$1:$11</definedName>
    <definedName name="_xlnm.Print_Titles" localSheetId="1">'DESONERADO RESUMIDA'!$1:$11</definedName>
    <definedName name="_xlnm.Print_Titles" localSheetId="3">ONERADO!$1:$11</definedName>
  </definedNames>
  <calcPr calcId="125725" fullCalcOnLoad="1"/>
</workbook>
</file>

<file path=xl/calcChain.xml><?xml version="1.0" encoding="utf-8"?>
<calcChain xmlns="http://schemas.openxmlformats.org/spreadsheetml/2006/main">
  <c r="H159" i="18"/>
  <c r="G159"/>
  <c r="I159"/>
  <c r="G162"/>
  <c r="G161"/>
  <c r="F161"/>
  <c r="G160"/>
  <c r="F160"/>
  <c r="F159"/>
  <c r="H155"/>
  <c r="G155"/>
  <c r="I155"/>
  <c r="G158"/>
  <c r="G157"/>
  <c r="F157"/>
  <c r="G156"/>
  <c r="F156"/>
  <c r="F155"/>
  <c r="F123"/>
  <c r="G131" i="17"/>
  <c r="J131"/>
  <c r="J132"/>
  <c r="F20" i="13"/>
  <c r="F19"/>
  <c r="E22"/>
  <c r="F18"/>
  <c r="F17"/>
  <c r="F16"/>
  <c r="F15"/>
  <c r="F14"/>
  <c r="D14"/>
  <c r="G21"/>
  <c r="F44" i="19"/>
  <c r="F43"/>
  <c r="F40"/>
  <c r="F38"/>
  <c r="F37"/>
  <c r="F36"/>
  <c r="F33"/>
  <c r="F30"/>
  <c r="F29"/>
  <c r="F26"/>
  <c r="F25"/>
  <c r="F22"/>
  <c r="F19"/>
  <c r="F18"/>
  <c r="F17"/>
  <c r="F16"/>
  <c r="F15"/>
  <c r="F14"/>
  <c r="F13"/>
  <c r="I62" i="18"/>
  <c r="I77"/>
  <c r="I97"/>
  <c r="I106"/>
  <c r="I151"/>
  <c r="F147"/>
  <c r="F144"/>
  <c r="F133"/>
  <c r="F114"/>
  <c r="F111"/>
  <c r="F108"/>
  <c r="F99"/>
  <c r="F88"/>
  <c r="F79"/>
  <c r="F71"/>
  <c r="F64"/>
  <c r="F45"/>
  <c r="F40"/>
  <c r="F37"/>
  <c r="F34"/>
  <c r="F30"/>
  <c r="F26"/>
  <c r="F23"/>
  <c r="F13"/>
  <c r="G13"/>
  <c r="H147"/>
  <c r="G147"/>
  <c r="I147"/>
  <c r="H144"/>
  <c r="G144"/>
  <c r="I144"/>
  <c r="F149"/>
  <c r="G149"/>
  <c r="G148"/>
  <c r="F148"/>
  <c r="F145"/>
  <c r="G145"/>
  <c r="G146"/>
  <c r="F140"/>
  <c r="G140"/>
  <c r="F139"/>
  <c r="G139"/>
  <c r="F138"/>
  <c r="G138"/>
  <c r="F137"/>
  <c r="G137"/>
  <c r="F136"/>
  <c r="G136"/>
  <c r="F135"/>
  <c r="G135"/>
  <c r="F134"/>
  <c r="G134"/>
  <c r="F131"/>
  <c r="G131"/>
  <c r="F130"/>
  <c r="G130"/>
  <c r="F129"/>
  <c r="G129"/>
  <c r="F128"/>
  <c r="G128"/>
  <c r="F127"/>
  <c r="G127"/>
  <c r="F126"/>
  <c r="G126"/>
  <c r="F125"/>
  <c r="G125"/>
  <c r="G124"/>
  <c r="F121"/>
  <c r="G121"/>
  <c r="F120"/>
  <c r="G120"/>
  <c r="F119"/>
  <c r="G119"/>
  <c r="F118"/>
  <c r="G118"/>
  <c r="F117"/>
  <c r="G117"/>
  <c r="F116"/>
  <c r="G116"/>
  <c r="F115"/>
  <c r="G115"/>
  <c r="F112"/>
  <c r="G112"/>
  <c r="G113"/>
  <c r="G111"/>
  <c r="F109"/>
  <c r="G109"/>
  <c r="G110"/>
  <c r="G108"/>
  <c r="F104"/>
  <c r="G104"/>
  <c r="F103"/>
  <c r="G103"/>
  <c r="F102"/>
  <c r="G102"/>
  <c r="F101"/>
  <c r="G101"/>
  <c r="F100"/>
  <c r="G100"/>
  <c r="F91"/>
  <c r="G91"/>
  <c r="F90"/>
  <c r="G90"/>
  <c r="F89"/>
  <c r="G89"/>
  <c r="F82"/>
  <c r="G82"/>
  <c r="F81"/>
  <c r="G81"/>
  <c r="F80"/>
  <c r="G80"/>
  <c r="F75"/>
  <c r="G75"/>
  <c r="F74"/>
  <c r="G74"/>
  <c r="F73"/>
  <c r="G73"/>
  <c r="F72"/>
  <c r="G72"/>
  <c r="F69"/>
  <c r="G69"/>
  <c r="F68"/>
  <c r="G68"/>
  <c r="F67"/>
  <c r="G67"/>
  <c r="F66"/>
  <c r="G66"/>
  <c r="F65"/>
  <c r="G65"/>
  <c r="F46"/>
  <c r="G46"/>
  <c r="F60"/>
  <c r="G60"/>
  <c r="F59"/>
  <c r="G59"/>
  <c r="F58"/>
  <c r="G58"/>
  <c r="F57"/>
  <c r="G57"/>
  <c r="F56"/>
  <c r="G56"/>
  <c r="F55"/>
  <c r="G55"/>
  <c r="F54"/>
  <c r="G54"/>
  <c r="F53"/>
  <c r="G53"/>
  <c r="F52"/>
  <c r="G52"/>
  <c r="F51"/>
  <c r="G51"/>
  <c r="F50"/>
  <c r="G50"/>
  <c r="F49"/>
  <c r="G49"/>
  <c r="F48"/>
  <c r="G48"/>
  <c r="F47"/>
  <c r="G47"/>
  <c r="F17"/>
  <c r="F41"/>
  <c r="G41"/>
  <c r="G42"/>
  <c r="G40"/>
  <c r="I40"/>
  <c r="F38"/>
  <c r="G38"/>
  <c r="G39"/>
  <c r="F35"/>
  <c r="G35"/>
  <c r="G36"/>
  <c r="H34"/>
  <c r="H43"/>
  <c r="F32"/>
  <c r="G32"/>
  <c r="F31"/>
  <c r="G31"/>
  <c r="F28"/>
  <c r="G28"/>
  <c r="F27"/>
  <c r="G27"/>
  <c r="F24"/>
  <c r="G24"/>
  <c r="G25"/>
  <c r="G23"/>
  <c r="I23"/>
  <c r="F21"/>
  <c r="G21"/>
  <c r="F20"/>
  <c r="G20"/>
  <c r="F19"/>
  <c r="G19"/>
  <c r="F18"/>
  <c r="G18"/>
  <c r="F16"/>
  <c r="G16"/>
  <c r="F15"/>
  <c r="G15"/>
  <c r="F14"/>
  <c r="G14"/>
  <c r="E96"/>
  <c r="E87"/>
  <c r="G87"/>
  <c r="H151" i="17"/>
  <c r="I151"/>
  <c r="H106"/>
  <c r="I106"/>
  <c r="H97"/>
  <c r="I97"/>
  <c r="I77"/>
  <c r="I62"/>
  <c r="F147"/>
  <c r="F144"/>
  <c r="H144"/>
  <c r="F133"/>
  <c r="H133"/>
  <c r="F114"/>
  <c r="F111"/>
  <c r="H111"/>
  <c r="F108"/>
  <c r="F99"/>
  <c r="H147"/>
  <c r="G147"/>
  <c r="I147"/>
  <c r="H114"/>
  <c r="G114"/>
  <c r="I114"/>
  <c r="H108"/>
  <c r="G108"/>
  <c r="I108"/>
  <c r="I142"/>
  <c r="H79"/>
  <c r="G79"/>
  <c r="I79"/>
  <c r="H88"/>
  <c r="G88"/>
  <c r="I88"/>
  <c r="H99"/>
  <c r="G99"/>
  <c r="I99"/>
  <c r="F79"/>
  <c r="H71"/>
  <c r="G71"/>
  <c r="I71"/>
  <c r="F64"/>
  <c r="F71"/>
  <c r="H64"/>
  <c r="H77"/>
  <c r="G64"/>
  <c r="I64"/>
  <c r="G45"/>
  <c r="F45"/>
  <c r="G61"/>
  <c r="I45"/>
  <c r="H45"/>
  <c r="H62"/>
  <c r="F40"/>
  <c r="G40"/>
  <c r="I40"/>
  <c r="F37"/>
  <c r="H37"/>
  <c r="H43"/>
  <c r="F34"/>
  <c r="H34"/>
  <c r="F30"/>
  <c r="G30"/>
  <c r="I30"/>
  <c r="F26"/>
  <c r="H26"/>
  <c r="F23"/>
  <c r="H40"/>
  <c r="G37"/>
  <c r="I37"/>
  <c r="G34"/>
  <c r="I34"/>
  <c r="I43"/>
  <c r="H30"/>
  <c r="H23"/>
  <c r="G23"/>
  <c r="I23"/>
  <c r="F13"/>
  <c r="I13"/>
  <c r="H13"/>
  <c r="G13"/>
  <c r="G150"/>
  <c r="G149"/>
  <c r="F149"/>
  <c r="G148"/>
  <c r="F148"/>
  <c r="G146"/>
  <c r="G145"/>
  <c r="F145"/>
  <c r="G141"/>
  <c r="G140"/>
  <c r="F140"/>
  <c r="G139"/>
  <c r="F139"/>
  <c r="G138"/>
  <c r="F138"/>
  <c r="G137"/>
  <c r="F137"/>
  <c r="G136"/>
  <c r="F136"/>
  <c r="G135"/>
  <c r="F135"/>
  <c r="G134"/>
  <c r="F134"/>
  <c r="F131"/>
  <c r="G130"/>
  <c r="F130"/>
  <c r="G129"/>
  <c r="F129"/>
  <c r="G128"/>
  <c r="F128"/>
  <c r="G127"/>
  <c r="F127"/>
  <c r="G126"/>
  <c r="F126"/>
  <c r="G125"/>
  <c r="F125"/>
  <c r="G124"/>
  <c r="G122"/>
  <c r="G121"/>
  <c r="F121"/>
  <c r="G120"/>
  <c r="F120"/>
  <c r="G119"/>
  <c r="F119"/>
  <c r="G118"/>
  <c r="F118"/>
  <c r="G117"/>
  <c r="F117"/>
  <c r="G116"/>
  <c r="F116"/>
  <c r="G115"/>
  <c r="F115"/>
  <c r="G113"/>
  <c r="G112"/>
  <c r="F112"/>
  <c r="G110"/>
  <c r="G109"/>
  <c r="F109"/>
  <c r="G105"/>
  <c r="G104"/>
  <c r="F104"/>
  <c r="G103"/>
  <c r="F103"/>
  <c r="G102"/>
  <c r="F102"/>
  <c r="G101"/>
  <c r="F101"/>
  <c r="G100"/>
  <c r="F100"/>
  <c r="E96"/>
  <c r="F91"/>
  <c r="G91"/>
  <c r="F90"/>
  <c r="G90"/>
  <c r="F89"/>
  <c r="G89"/>
  <c r="E87"/>
  <c r="G87"/>
  <c r="F82"/>
  <c r="G82"/>
  <c r="G81"/>
  <c r="F81"/>
  <c r="F80"/>
  <c r="G80"/>
  <c r="F75"/>
  <c r="G75"/>
  <c r="F74"/>
  <c r="G74"/>
  <c r="F73"/>
  <c r="G73"/>
  <c r="F72"/>
  <c r="G72"/>
  <c r="F69"/>
  <c r="G69"/>
  <c r="F68"/>
  <c r="G68"/>
  <c r="F67"/>
  <c r="G67"/>
  <c r="G66"/>
  <c r="F66"/>
  <c r="F65"/>
  <c r="G65"/>
  <c r="F46"/>
  <c r="F60"/>
  <c r="G60"/>
  <c r="F59"/>
  <c r="G59"/>
  <c r="F58"/>
  <c r="G58"/>
  <c r="F57"/>
  <c r="G57"/>
  <c r="G56"/>
  <c r="F56"/>
  <c r="F55"/>
  <c r="G55"/>
  <c r="F54"/>
  <c r="G54"/>
  <c r="F53"/>
  <c r="G53"/>
  <c r="F52"/>
  <c r="G52"/>
  <c r="F51"/>
  <c r="G51"/>
  <c r="F50"/>
  <c r="G50"/>
  <c r="F49"/>
  <c r="G49"/>
  <c r="G48"/>
  <c r="F48"/>
  <c r="F47"/>
  <c r="G47"/>
  <c r="G46"/>
  <c r="F41"/>
  <c r="G41"/>
  <c r="G42"/>
  <c r="F38"/>
  <c r="G38"/>
  <c r="G39"/>
  <c r="F35"/>
  <c r="G35"/>
  <c r="G36"/>
  <c r="F32"/>
  <c r="G32"/>
  <c r="F31"/>
  <c r="G31"/>
  <c r="F28"/>
  <c r="G28"/>
  <c r="G27"/>
  <c r="G29"/>
  <c r="F27"/>
  <c r="F24"/>
  <c r="G24"/>
  <c r="G25"/>
  <c r="F21"/>
  <c r="G21"/>
  <c r="F20"/>
  <c r="G20"/>
  <c r="F19"/>
  <c r="G19"/>
  <c r="G18"/>
  <c r="F18"/>
  <c r="F17"/>
  <c r="G17"/>
  <c r="F16"/>
  <c r="G16"/>
  <c r="F15"/>
  <c r="G15"/>
  <c r="F14"/>
  <c r="G14"/>
  <c r="B20" i="13"/>
  <c r="B19"/>
  <c r="B18"/>
  <c r="B17"/>
  <c r="B16"/>
  <c r="B15"/>
  <c r="B14"/>
  <c r="G26" i="17"/>
  <c r="I26"/>
  <c r="G92"/>
  <c r="F88"/>
  <c r="G33"/>
  <c r="G70"/>
  <c r="G83"/>
  <c r="G76"/>
  <c r="G22"/>
  <c r="G150" i="18"/>
  <c r="H111"/>
  <c r="G141"/>
  <c r="G132"/>
  <c r="G122"/>
  <c r="I111"/>
  <c r="H108"/>
  <c r="H142"/>
  <c r="I108"/>
  <c r="G92"/>
  <c r="G88"/>
  <c r="I88"/>
  <c r="G105"/>
  <c r="G83"/>
  <c r="H79"/>
  <c r="G76"/>
  <c r="G70"/>
  <c r="G64"/>
  <c r="I64"/>
  <c r="G37"/>
  <c r="I37"/>
  <c r="H37"/>
  <c r="G61"/>
  <c r="H40"/>
  <c r="G34"/>
  <c r="I34"/>
  <c r="I43"/>
  <c r="H23"/>
  <c r="G33"/>
  <c r="G29"/>
  <c r="G26"/>
  <c r="I26"/>
  <c r="D15" i="13"/>
  <c r="H15"/>
  <c r="I15"/>
  <c r="D18"/>
  <c r="H18"/>
  <c r="I18"/>
  <c r="D17"/>
  <c r="H17"/>
  <c r="I17"/>
  <c r="D16"/>
  <c r="H16"/>
  <c r="I16"/>
  <c r="G144" i="17"/>
  <c r="I144"/>
  <c r="G133"/>
  <c r="I133"/>
  <c r="G111"/>
  <c r="I111"/>
  <c r="H114" i="18"/>
  <c r="G114"/>
  <c r="I114"/>
  <c r="G133"/>
  <c r="I133"/>
  <c r="H133"/>
  <c r="G79"/>
  <c r="I79"/>
  <c r="H88"/>
  <c r="G99"/>
  <c r="I99"/>
  <c r="H99"/>
  <c r="H106"/>
  <c r="H71"/>
  <c r="G71"/>
  <c r="I71"/>
  <c r="H64"/>
  <c r="G45"/>
  <c r="I45"/>
  <c r="H45"/>
  <c r="H62"/>
  <c r="H30"/>
  <c r="G30"/>
  <c r="I30"/>
  <c r="H26"/>
  <c r="H151"/>
  <c r="D20" i="13"/>
  <c r="H20"/>
  <c r="I20"/>
  <c r="D19"/>
  <c r="H19"/>
  <c r="I19"/>
  <c r="H77" i="18"/>
  <c r="H97"/>
  <c r="G17"/>
  <c r="G22"/>
  <c r="H13"/>
  <c r="I13"/>
  <c r="G22" i="19"/>
  <c r="I22"/>
  <c r="I23" s="1"/>
  <c r="H22"/>
  <c r="H23" s="1"/>
  <c r="H36"/>
  <c r="G36"/>
  <c r="I36" s="1"/>
  <c r="H15"/>
  <c r="G15"/>
  <c r="I15"/>
  <c r="G18"/>
  <c r="I18" s="1"/>
  <c r="H18"/>
  <c r="H19"/>
  <c r="G19"/>
  <c r="I19" s="1"/>
  <c r="H37"/>
  <c r="G37"/>
  <c r="I37" s="1"/>
  <c r="H43"/>
  <c r="G43"/>
  <c r="I43"/>
  <c r="H17"/>
  <c r="G17"/>
  <c r="I17" s="1"/>
  <c r="G26"/>
  <c r="I26" s="1"/>
  <c r="H26"/>
  <c r="H33"/>
  <c r="H34" s="1"/>
  <c r="G33"/>
  <c r="I33" s="1"/>
  <c r="I34" s="1"/>
  <c r="G14"/>
  <c r="I14" s="1"/>
  <c r="H14"/>
  <c r="G16"/>
  <c r="I16" s="1"/>
  <c r="H16"/>
  <c r="G30"/>
  <c r="I30"/>
  <c r="H30"/>
  <c r="H44"/>
  <c r="H45" s="1"/>
  <c r="G44"/>
  <c r="I44" s="1"/>
  <c r="I45" s="1"/>
  <c r="H29"/>
  <c r="G29"/>
  <c r="I29"/>
  <c r="H40"/>
  <c r="G40"/>
  <c r="I40" s="1"/>
  <c r="H13"/>
  <c r="G13"/>
  <c r="I13" s="1"/>
  <c r="H38"/>
  <c r="G38"/>
  <c r="I38" s="1"/>
  <c r="H25"/>
  <c r="H27" s="1"/>
  <c r="G25"/>
  <c r="I25" s="1"/>
  <c r="I27" s="1"/>
  <c r="H14" i="13"/>
  <c r="I14"/>
  <c r="J14"/>
  <c r="H123" i="18"/>
  <c r="G123"/>
  <c r="I123"/>
  <c r="I142"/>
  <c r="F39" i="19"/>
  <c r="H39" s="1"/>
  <c r="H41" s="1"/>
  <c r="G132" i="17"/>
  <c r="F123"/>
  <c r="G123"/>
  <c r="I123"/>
  <c r="H123"/>
  <c r="H142"/>
  <c r="H152"/>
  <c r="C22" i="13"/>
  <c r="C23"/>
  <c r="E23"/>
  <c r="E24"/>
  <c r="I152" i="17"/>
  <c r="H152" i="18"/>
  <c r="I152"/>
  <c r="I31" i="19"/>
  <c r="H31"/>
  <c r="G39"/>
  <c r="I39" s="1"/>
  <c r="H20"/>
  <c r="C24" i="13"/>
  <c r="C25"/>
  <c r="E25"/>
  <c r="I20" i="19" l="1"/>
  <c r="H46"/>
  <c r="I41"/>
  <c r="I46" l="1"/>
</calcChain>
</file>

<file path=xl/sharedStrings.xml><?xml version="1.0" encoding="utf-8"?>
<sst xmlns="http://schemas.openxmlformats.org/spreadsheetml/2006/main" count="994" uniqueCount="317">
  <si>
    <t>H</t>
  </si>
  <si>
    <t>TOTAL</t>
  </si>
  <si>
    <t>1.1</t>
  </si>
  <si>
    <t>UN</t>
  </si>
  <si>
    <t>1.0</t>
  </si>
  <si>
    <t xml:space="preserve">Estado do Rio de Janeiro                                                        </t>
  </si>
  <si>
    <t>Prefeitura Municipal de Barra Mansa</t>
  </si>
  <si>
    <t>ITEM</t>
  </si>
  <si>
    <t>CODIGO EMOP/ SINAPI</t>
  </si>
  <si>
    <t>DISCRIMINAÇÃO</t>
  </si>
  <si>
    <t>QUANT.</t>
  </si>
  <si>
    <t>PREÇOS (R$)</t>
  </si>
  <si>
    <t xml:space="preserve">CRONOGRAMA  FÍSICO-FINANCEIRO </t>
  </si>
  <si>
    <t>DESCRIÇÃO</t>
  </si>
  <si>
    <t>PERÍODO</t>
  </si>
  <si>
    <t>30 DIAS</t>
  </si>
  <si>
    <t>TOTAL DOS</t>
  </si>
  <si>
    <t>FÍSICO</t>
  </si>
  <si>
    <t>FINANCEIRO</t>
  </si>
  <si>
    <t>SERVIÇOS</t>
  </si>
  <si>
    <t>TOTAL DA OBRA POR MEDIÇÃO</t>
  </si>
  <si>
    <t>TOTAL ACUMULADO DA OBRA</t>
  </si>
  <si>
    <t>Desembolso parcial por medição %</t>
  </si>
  <si>
    <t>Desembolso máximo acumulado %</t>
  </si>
  <si>
    <t>x</t>
  </si>
  <si>
    <t>TOTAL GERAL =</t>
  </si>
  <si>
    <t>14.002.0199-0</t>
  </si>
  <si>
    <t>M2</t>
  </si>
  <si>
    <t>GRADIL ELETROFUNDIDO, MALHA (65X132)MM,PINTURA ELETROSTATICA VERDE OU CINZA</t>
  </si>
  <si>
    <t>06913</t>
  </si>
  <si>
    <t>MAO-DE-OBRA DE SERRALHEIRO DA CONSTRUCAOCIVIL, INCLUSIVE ENCARGOS SOCIAIS</t>
  </si>
  <si>
    <t>01999</t>
  </si>
  <si>
    <t>MAO-DE-OBRA DE SERVENTE DA CONSTRUCAO CIVIL, INCLUSIVE ENCARGOS SOCIAIS</t>
  </si>
  <si>
    <t>1.2</t>
  </si>
  <si>
    <t>Secretaria Municipal de Planejamento Urbano</t>
  </si>
  <si>
    <t>SERVIÇOS PRELIMINARES</t>
  </si>
  <si>
    <t>1.3</t>
  </si>
  <si>
    <t>1.4</t>
  </si>
  <si>
    <t>Serviço : Reforma do muro da frente da USF Santa Rita de Fátima</t>
  </si>
  <si>
    <t>02.020.0001-0</t>
  </si>
  <si>
    <t>PLACA DE IDENTIFICACAO DE OBRA PUBLICA,INCLUSIVE PINTURA E SUPORTES DE MADEIRA.FORNECIMENTO E COLOCACAO (OBS.:3% - DESGASTE DE FERRAMENTAS E EPI).</t>
  </si>
  <si>
    <t>00453</t>
  </si>
  <si>
    <t>PREGO COM OU SEM CABECA, EM CAIXAS DE 50KG, OU QUANTIDADES EQUIVALENTES, N§12X12A 18X30</t>
  </si>
  <si>
    <t>KG</t>
  </si>
  <si>
    <t>00368</t>
  </si>
  <si>
    <t>PINUS, EM PECAS DE 7,50X7,50CM (3"X3")</t>
  </si>
  <si>
    <t>M</t>
  </si>
  <si>
    <t>00294</t>
  </si>
  <si>
    <t>TINTA A OLEO BRILHANTE, P/USO GERAL, EMINTERIORES E EXTERIORES</t>
  </si>
  <si>
    <t>GL</t>
  </si>
  <si>
    <t>00160</t>
  </si>
  <si>
    <t>CHAPA DE ACO CARBONO, GALVANIZADA, PARAUSOS GERAIS, TAMANHO PADRAO, PRECO DE REVENDEDOR, COM ESPESSURA DE 0,5MM</t>
  </si>
  <si>
    <t>01967</t>
  </si>
  <si>
    <t>MAO-DE-OBRA DE CARPINTEIRO DE ESQUADRIASDE MADEIRA INCLUSIVE ENCARGOS SOCIAIS</t>
  </si>
  <si>
    <t>01966</t>
  </si>
  <si>
    <t>MAO-DE-OBRA DE PINTOR, INCLUSIVE ENCARGOS SOCIAIS</t>
  </si>
  <si>
    <t>01001</t>
  </si>
  <si>
    <t>19.004.0001-2 CAMINHAO CARROC. FIXA, 3,5T (CP)</t>
  </si>
  <si>
    <t>05.001.0147-0</t>
  </si>
  <si>
    <t>ARRANCAMENTO DE GRADES,GRADIS,ALAMBRADOS,CERCAS E PORTOES (OBS.:3%-DESGASTE DE FERRAMENTAS E EPI).</t>
  </si>
  <si>
    <t>1.5</t>
  </si>
  <si>
    <t>2.0</t>
  </si>
  <si>
    <t>X</t>
  </si>
  <si>
    <t>SUB-TOTAL=</t>
  </si>
  <si>
    <t>05.001.0023-0</t>
  </si>
  <si>
    <t>DEMOLICAO MANUAL DE ALVENARIA DE TIJOLOS FURADOS,INCLUSIVE EMPILHAMENTO LATERAL DENTRO DO CANTEIRO DE SERVICO (OBS.:3%- DESGASTE DE FERRAMENTAS E EPI).</t>
  </si>
  <si>
    <t>M3</t>
  </si>
  <si>
    <t>01968</t>
  </si>
  <si>
    <t>MAO-DE-OBRA DE PEDREIRO, INCLUSIVE ENCARGOS SOCIAIS</t>
  </si>
  <si>
    <t>05.001.0002-1</t>
  </si>
  <si>
    <t>DEMOLICAO MANUAL DE CONCRETO ARMADO COMPREENDENDO PILARES,VIGAS E LAJES,EM ESTRUTURA APRESENTANDO POSICAO ESPECIAL,INCLU SIVE EMPILHAMENTO LATERAL DENTRO DO CANTEIRO DE SERVICO (OBS.:3%- DESGASTE DE FERRAMENTAS E EPI).</t>
  </si>
  <si>
    <t>05.001.0018-0</t>
  </si>
  <si>
    <t>DEMOLICAO MANUAL DE PISO CIMENTADO E DA RESPECTIVA BASE DE CONCRETO,OU PASSEIO DE CONCRETO,INCLUSIVE EMPILHAMENTO LATERA L DENTRO DO CANTEIRO DE SERVICO (OBS.:3%-DESGASTE DE FERRAMENTAS E EPI).</t>
  </si>
  <si>
    <t>2.1</t>
  </si>
  <si>
    <t>3.0</t>
  </si>
  <si>
    <t>CONCRETO ARMADO,FCK=25MPA,INCLUINDO MATERIAIS PARA 1,00M3 DE CONCRETO(IMPORTADO DE USINA)ADENSADO E COLOCADO,14,00M2 DE AREA MOLDADA,FORMAS E ESCORAMENTO CONFORME ITENS 11.004.0022E 11.004.0035,60KG DE ACO CA-50,INCLUSIVE MAO-DE-OBRA PARA CORTE,DOBRAGEM,MONTAGEM E COLOCACAO NAS FORMAS (OBS.:3%-DESGASTE DE FERRAMENTAS E EPI).</t>
  </si>
  <si>
    <t>05845</t>
  </si>
  <si>
    <t>ACO CA-50, ESTIRADO, PRECO DE REVENDEDOR, NO DIAMETRO DE 08,0MM</t>
  </si>
  <si>
    <t>05844</t>
  </si>
  <si>
    <t>ACO CA-50, ESTIRADO, PRECO DE REVENDEDOR, NO DIAMETRO DE 06,3MM</t>
  </si>
  <si>
    <t>00021</t>
  </si>
  <si>
    <t>ACO CA-50, ESTIRADO, PRECO DE REVENDEDOR, NO DIAMETRO, DE 25,0MM</t>
  </si>
  <si>
    <t>00019</t>
  </si>
  <si>
    <t>ACO CA-50, ESTIRADO, PRECO DE REVENDEDOR, NO DIAMETRO DE 16,0MM</t>
  </si>
  <si>
    <t>00018</t>
  </si>
  <si>
    <t>ACO CA-50, ESTIRADO, PRECO DE REVENDEDOR, NO DIAMETRO DE 12,5MM</t>
  </si>
  <si>
    <t>00017</t>
  </si>
  <si>
    <t>ACO CA-50, ESTIRADO, PRECO DE REVENDEDOR, NO DIAMETRO DE 10,0MM</t>
  </si>
  <si>
    <t>00004</t>
  </si>
  <si>
    <t>ARAME RECOZIDO N§ 18</t>
  </si>
  <si>
    <t>01998</t>
  </si>
  <si>
    <t>MAO-DE-OBRA DE ARMADOR DE CONCRETO ARMADO, INCLUSIVE ENCARGOS SOCIAIS</t>
  </si>
  <si>
    <t>01990</t>
  </si>
  <si>
    <t>MAO-DE-OBRA DE CARPINTEIRO DE FORMA DE CONCRETO, INCLUSIVE ENCARGOS SOCIAIS</t>
  </si>
  <si>
    <t>03000</t>
  </si>
  <si>
    <t>54.001.0100-1 FORMAS MADEIRA P/MOLDAGEM, INCL. ESCOR.</t>
  </si>
  <si>
    <t>01158</t>
  </si>
  <si>
    <t>19.007.0013-4 VIBRADOR IMERSAO ELETR. 2CV (CI)</t>
  </si>
  <si>
    <t>01157</t>
  </si>
  <si>
    <t>19.007.0013-2 VIBRADOR IMERSAO ELETR. 2CV (CP)</t>
  </si>
  <si>
    <t>SI00000094965</t>
  </si>
  <si>
    <t>CONCRETO FCK = 25MPA, TRAÇO 1:2,3:2,7 (CIMENTO/ AREIA MÉDIA/ BRITA 1)  - PREPARO MECÂNICO COM BETONEIRA 400 L. AF_07/2016</t>
  </si>
  <si>
    <t>4.0</t>
  </si>
  <si>
    <t>3.1</t>
  </si>
  <si>
    <t>3.2</t>
  </si>
  <si>
    <t>12.003.0230-0</t>
  </si>
  <si>
    <t>ALVENARIA DE TIJOLOS CERAMICOS FURADOS 10X20X30CM,COMPLEMENTADA COM 6% DE TIJOLOS DE 10X20X20CM,ASSENTES COM ARGAMASSA D E CIMENTO,CAL HIDRATADA ADITIVADA E AREIA,NO TRACO 1:1:8,EMPAREDES DE MEIA VEZ(0,10M),DE SUPERFICIE CORRIDA,ATE 3,00M D E ALTURA E MEDIDA PELA AREA REAL (OBS.:3%-DESGASTE DE FERRAMENTAS E EPI).</t>
  </si>
  <si>
    <t>00560</t>
  </si>
  <si>
    <t>TIJOLO CERAMICO, FURADO, DE (10X20X30)CM</t>
  </si>
  <si>
    <t>00559</t>
  </si>
  <si>
    <t>TIJOLO CERAMICO, FURADO, DE (10X20X20)CM</t>
  </si>
  <si>
    <t>15234</t>
  </si>
  <si>
    <t>07.005.0030-1 ARGAMASSA CIM.,CAL HIDR.AREIA-EMBOC.INT.PREPARO MECANICO</t>
  </si>
  <si>
    <t>13.002.0011-1</t>
  </si>
  <si>
    <t>REVESTIMENTO EXTERNO,DE UMA VEZ,COM ARGAMASSA DE CIMENTO,SAIBRO MACIO E AREIA FINA,NO TRACO 1:3:3,COM ESPESSURA DE 2,5CM ,INCLUSIVE CHAPISCO DE CIMENTO E AREIA,NO TRACO 1:3 (OBS.:3%-DESGASTE DE FERRAMENTAS E EPI).</t>
  </si>
  <si>
    <t>03084</t>
  </si>
  <si>
    <t>13.001.0010-1 CHAPISCO SUPERF. CONCR./ALVEN.,COM ARGAMASSA DE CIMENTO E AREIA NO TRACO 1:3</t>
  </si>
  <si>
    <t>03081</t>
  </si>
  <si>
    <t>07.007.0020-1 ARGAMASSA CIM.,SAIBRO,AREIA 1:3:3,PREPARO MECANICO</t>
  </si>
  <si>
    <t>4.1</t>
  </si>
  <si>
    <t>4.2</t>
  </si>
  <si>
    <t>5.0</t>
  </si>
  <si>
    <t>5.1</t>
  </si>
  <si>
    <t>17.018.0110-0</t>
  </si>
  <si>
    <t>PINTURA COM TINTA LATEX SEMIBRILHANTE,FOSCA OU ACETINADA,CLASSIFICACAO PREMIUM OU STANDARD (NBR 15079),PARA INTERIOR E E XTERIOR,BRANCA OU COLORIDA,SOBRE TIJOLO,CONCRETO LISO,CIMENTO SEM AMIANTO,E REVESTIMENTO,INCLUSIVE LIXAMENTO,UMA DEMAO D E SELADOR ACRILICO E DUAS DEMAOS DE ACABAMENTO (OBS.:3%-DESGASTE DE FERRAMENTAS E EPI).</t>
  </si>
  <si>
    <t>14496</t>
  </si>
  <si>
    <t>LIXA PARA MASSA</t>
  </si>
  <si>
    <t>06028</t>
  </si>
  <si>
    <t>SELADOR PIGMENTADO A BASE DE RESINA ACRILICA MODIFICADA, NA COR BRANCA</t>
  </si>
  <si>
    <t>03876</t>
  </si>
  <si>
    <t>TINTA LATEX STANDARD PARA EXTERIOR/INTERIOR SEMIBRILHANTE BRANCA OU COLORIDA, EMBALDES DE 18 LITROS</t>
  </si>
  <si>
    <t>So00000088316</t>
  </si>
  <si>
    <t>SERVENTE COM ENCARGOS COMPLEMENTARES</t>
  </si>
  <si>
    <t>6.0</t>
  </si>
  <si>
    <t>6.1</t>
  </si>
  <si>
    <t>6.2</t>
  </si>
  <si>
    <t>6.3</t>
  </si>
  <si>
    <t>6.4</t>
  </si>
  <si>
    <t>6.5</t>
  </si>
  <si>
    <t>05.001.0142-0</t>
  </si>
  <si>
    <t>ARRANCAMENTO DE MEIOS-FIOS,DE GRANITO OU CONCRETO,RETOS OU CURVOS,INCLUSIVE EMPILHAMENTO LATERAL DENTRO DO CANTEIRO DE S ERVICO (OBS.:3%-DESGASTE DE FERRAMENTAS E EPI).</t>
  </si>
  <si>
    <t>08.027.0042-0</t>
  </si>
  <si>
    <t>MEIO-FIO RETO DE CONCRETO SIMPLES FCK=15MPA,PRE-MOLDADO,TIPO DER-RJ,MEDINDO 0,15M NA BASE E COM ALTURA DE 0,30M,REJUNTAM ENTO COM ARGAMASSA DE CIMENTO E AREIA NO TRACO 1:3,5,COM FORNECIMENTO DE TODOS OS MATERIAIS,ESCAVACAO E REATERRO (OBS.:3%- DESGASTE DE FERRAMENTAS E EPI).</t>
  </si>
  <si>
    <t>01991</t>
  </si>
  <si>
    <t>MAO-DE-OBRA DE CALCETEIRO, INCLUSIVE ENCARGOS SOCIAIS</t>
  </si>
  <si>
    <t>01763</t>
  </si>
  <si>
    <t>11.002.0034-1 LANCAMENTO CONC.S/ARM.3,5M3/H, HORIZ.</t>
  </si>
  <si>
    <t>01744</t>
  </si>
  <si>
    <t>11.002.0012-1 PREPARO CONCR. BETON. 600L; 3,5 M3/H</t>
  </si>
  <si>
    <t>01639</t>
  </si>
  <si>
    <t>11.004.0001-1 FORMAS MADEIRA, PINUS, 20 VEZES</t>
  </si>
  <si>
    <t>01635</t>
  </si>
  <si>
    <t>11.001.0005-1 CONCRETO FCK 15MPA</t>
  </si>
  <si>
    <t>01607</t>
  </si>
  <si>
    <t>07.002.0030-1 ARGAMASSA CIM.,AREIA TRACO 1:4,PREPAROMECANICO</t>
  </si>
  <si>
    <t>So0004460</t>
  </si>
  <si>
    <t>SARRAFO NAO APARELHADO *2,5 X 10* CM, EM MACARANDUBA, ANGELIM OU EQUIVALENTE DA REGIAO -  BRUTA</t>
  </si>
  <si>
    <t>So0003777</t>
  </si>
  <si>
    <t>LONA PLASTICA PESADA PRETA, E = 150 MICRA</t>
  </si>
  <si>
    <t>So0004517</t>
  </si>
  <si>
    <t>SARRAFO *2,5 X 7,5* CM EM PINUS, MISTA OU EQUIVALENTE DA REGIAO - BRUTA</t>
  </si>
  <si>
    <t>So00000088309</t>
  </si>
  <si>
    <t>PEDREIRO COM ENCARGOS COMPLEMENTARES</t>
  </si>
  <si>
    <t>So00000088262</t>
  </si>
  <si>
    <t>CARPINTEIRO DE FORMAS COM ENCARGOS COMPLEMENTARES</t>
  </si>
  <si>
    <t>So00000094964</t>
  </si>
  <si>
    <t>13.333.0010-0</t>
  </si>
  <si>
    <t>REVESTIMENTO DE PISO COM CERAMICA TATIL DIRECIONAL,(LADRILHO HIDRAULICO),PARA PESSOAS COM NECESSIDADES ESPECIFICAS,ASSEN TES SOBRE SUPERFICIE EM OSSO,CONFORME ITEM 13.330.0010 (OBS.:3%-DESGASTE DE FERRAMENTAS E EPI).</t>
  </si>
  <si>
    <t>11227</t>
  </si>
  <si>
    <t>PISO CERAMICO TATIL DIRECIONAL, AMARELO,PARA PORTADORES DE NECESSIDADES ESPECIFICAS</t>
  </si>
  <si>
    <t>05350</t>
  </si>
  <si>
    <t>OXIDO DE FERRO</t>
  </si>
  <si>
    <t>00150</t>
  </si>
  <si>
    <t>CIMENTO BRANCO</t>
  </si>
  <si>
    <t>01978</t>
  </si>
  <si>
    <t>MAO-DE-OBRA DE LADRILHEIRO, INCLUSIVE ENCARGOS SOCIAIS</t>
  </si>
  <si>
    <t>03429</t>
  </si>
  <si>
    <t>07.001.0130-1 ARGAMASSA CIM.,SAIBRO,AREIA 1:3:3,PREPARO MANUAL</t>
  </si>
  <si>
    <t>03077</t>
  </si>
  <si>
    <t>07.001.0010-1 PASTA DE CIMENTO COMUM</t>
  </si>
  <si>
    <t>7.0</t>
  </si>
  <si>
    <t>7.1</t>
  </si>
  <si>
    <t>7.2</t>
  </si>
  <si>
    <t>05.001.0172-0</t>
  </si>
  <si>
    <t>TRANSPORTE HORIZONTAL DE MATERIAL DE 1¦CATEGORIA OU ENTULHO,EM CARRINHOS,A 30,00M DE DISTANCIA,INCLUSIVE CARGA A PA (OBS.:3%- DESGASTE DE FERRAMENTAS E EPI).</t>
  </si>
  <si>
    <t>04.014.0095-0</t>
  </si>
  <si>
    <t>RETIRADA DE ENTULHO DE OBRA COM CACAMBA DE ACO TIPO CONTAINER COM 5M3 DE CAPACIDADE,INCLUSIVE CARREGAMENTO,TRANSPORTE E DESCARREGAMENTO.CUSTO POR UNIDADE DE CACAMBA E INCLUI A TAXA PARA DESCARGA EM LOCAIS AUTORIZADOS (OBS.:3%-DESGASTE DE FERRAMENTAS E EPI).</t>
  </si>
  <si>
    <t>10962</t>
  </si>
  <si>
    <t>ALUGUEL CACAMBA DE ACO TIPO CONTAINER C/5M3 CAPAC.P/RETIRADA ENTULHO OBRA,INCL.CARREGA.,TRANSP.E DESCAR.LOCAIS AUTORIZ.</t>
  </si>
  <si>
    <t>Local: Rua Jarbas Cançado Trindade, s/nº - Bairro Santa Rita de Fátima - Barra Mansa - RJ</t>
  </si>
  <si>
    <t>PLANILHA ORÇAMENTÁRIA COM BDI DE 22,47%</t>
  </si>
  <si>
    <t>UNIT C/ BDI</t>
  </si>
  <si>
    <t>TOTAL C/ BDI</t>
  </si>
  <si>
    <t>Estrutura de concreto armado</t>
  </si>
  <si>
    <t>Alvenaria e revestimentos</t>
  </si>
  <si>
    <t>Pintura</t>
  </si>
  <si>
    <t>Transporte e bota-fora</t>
  </si>
  <si>
    <t>ORÇAMENTO Nº 004-2021</t>
  </si>
  <si>
    <t>1.6</t>
  </si>
  <si>
    <t>01.001.0076-0</t>
  </si>
  <si>
    <t>PERFURACAO MANUAL DE SOLO,A TRADO ATE 8" (OBS.:3% - DESGASTE DE FERRAMENTAS E EPI).</t>
  </si>
  <si>
    <t>GRADIL MALHA 200 X 50MM FIO 4,30MM com postes de sustentação fixados por parafusos conforme projeto,PINT URA ELETROSTATICA NAS CORES VERDE OU CINZA,INCLUSIVE MONTAGEM</t>
  </si>
  <si>
    <t>un</t>
  </si>
  <si>
    <r>
      <t>Data-Base:   EMOP -  RJ / SINAPI -</t>
    </r>
    <r>
      <rPr>
        <b/>
        <sz val="12"/>
        <color indexed="8"/>
        <rFont val="Arial"/>
        <family val="2"/>
      </rPr>
      <t xml:space="preserve"> O</t>
    </r>
    <r>
      <rPr>
        <b/>
        <sz val="12"/>
        <color indexed="8"/>
        <rFont val="Arial"/>
        <family val="2"/>
      </rPr>
      <t>nerado -</t>
    </r>
    <r>
      <rPr>
        <sz val="12"/>
        <color indexed="8"/>
        <rFont val="Arial"/>
        <family val="2"/>
      </rPr>
      <t xml:space="preserve"> Base fev-21</t>
    </r>
  </si>
  <si>
    <t>DATA:10/02/2021 - Revisão 19-04-2021</t>
  </si>
  <si>
    <t>PERFURACAO MANUAL DE SOLO,A TRADO ATE 10" (OBS.:3% - DESGASTE DE FERRAMENTAS E EPI).</t>
  </si>
  <si>
    <t>1.7</t>
  </si>
  <si>
    <t>TELAS GUARÁ</t>
  </si>
  <si>
    <t>PORTÃO DE GRADIL PIVOTANTE, DUAS FOLHAS (LARGURA 1860MM /ALTURA 2750MM).</t>
  </si>
  <si>
    <t>TELAS VITÓRIA</t>
  </si>
  <si>
    <t>BELGO CERCAS E CIA</t>
  </si>
  <si>
    <t>TOTAL MEDIO</t>
  </si>
  <si>
    <t>UNITS/ BDI</t>
  </si>
  <si>
    <t>TOTAL S/ BDI</t>
  </si>
  <si>
    <t>So00000094965</t>
  </si>
  <si>
    <t xml:space="preserve">01.001.0077-0 </t>
  </si>
  <si>
    <t>11.013.0075-0 (COMPOSIÇÃO)</t>
  </si>
  <si>
    <t>11293</t>
  </si>
  <si>
    <t>VALOR M2</t>
  </si>
  <si>
    <t>So00000094964 CONCRETO FCK = 20MPA, TRAÇO 1:2,7:3 (CIMENTO/ AREIA MÉDIA/ BRITA 1)  - PREPARO MECÂNICO COM BETONEIRA 400 L. AF_07/2016</t>
  </si>
  <si>
    <t>02.020.0001-A</t>
  </si>
  <si>
    <t>20132</t>
  </si>
  <si>
    <t>MAO-DE-OBRA DE SERVENTE DA CONSTRUCAO CIVIL, INCLUSIVE ENCARGOS SOCIAIS DESONERADOS</t>
  </si>
  <si>
    <t>20118</t>
  </si>
  <si>
    <t>MAO-DE-OBRA DE PINTOR, INCLUSIVE ENCARGOS SOCIAIS DESONERADOS</t>
  </si>
  <si>
    <t>20045</t>
  </si>
  <si>
    <t>MAO-DE-OBRA DE CARPINTEIRO DE ESQUADRIASDE MADEIRA, INCLUSIVE ENCARGOS SOCIAISDESONERADOS</t>
  </si>
  <si>
    <t>30411</t>
  </si>
  <si>
    <t>19.004.0001-C CAMINHAO CARROC. FIXA, 3,5T (CP)</t>
  </si>
  <si>
    <t>05.001.0147-A</t>
  </si>
  <si>
    <t>05.001.0023-A</t>
  </si>
  <si>
    <t>20115</t>
  </si>
  <si>
    <t>MAO-DE-OBRA DE PEDREIRO, INCLUSIVE ENCARGOS SOCIAIS DESONERADOS</t>
  </si>
  <si>
    <t>05.001.0002-B</t>
  </si>
  <si>
    <t>05.001.0018-A</t>
  </si>
  <si>
    <t>01.001.0076-A</t>
  </si>
  <si>
    <t>01.001.0077-A</t>
  </si>
  <si>
    <t>20046</t>
  </si>
  <si>
    <t>MAO-DE-OBRA DE CARPINTEIRO DE FORMA DE CONCRETO, INCLUSIVE ENCARGOS SOCIAIS DESONERADOS</t>
  </si>
  <si>
    <t>20015</t>
  </si>
  <si>
    <t>MAO-DE-OBRA DE ARMADOR DE CONCRETO ARMADO, INCLUSIVE ENCARGOS SOCIAIS DESONERADOS</t>
  </si>
  <si>
    <t>30885</t>
  </si>
  <si>
    <t>54.001.0100-B FORMAS MADEIRA P/MOLDAGEM, INCL. ESCOR.</t>
  </si>
  <si>
    <t>30731</t>
  </si>
  <si>
    <t>19.007.0013-E VIBRADOR IMERSAO ELETR. 2CV (CI)</t>
  </si>
  <si>
    <t>30730</t>
  </si>
  <si>
    <t>19.007.0013-C VIBRADOR IMERSAO ELETR. 2CV (CP)</t>
  </si>
  <si>
    <r>
      <t xml:space="preserve">11.013.0075-A </t>
    </r>
    <r>
      <rPr>
        <b/>
        <sz val="11"/>
        <color indexed="8"/>
        <rFont val="Calibri"/>
        <family val="2"/>
      </rPr>
      <t>(COMPOSIÇÃO)</t>
    </r>
  </si>
  <si>
    <t>12.003.0230-A</t>
  </si>
  <si>
    <t>30174</t>
  </si>
  <si>
    <t>07.005.0030-B ARGAMASSA CIM.,CAL HIDR.AREIA-EMBOC.INT.PREPARO MECANICO</t>
  </si>
  <si>
    <t>13.002.0011-B</t>
  </si>
  <si>
    <t>30350</t>
  </si>
  <si>
    <t>13.001.0010-B CHAPISCO SUPERF. CONCR./ALVEN.,COM ARGAMASSA DE CIMENTO E AREIA NO TRACO 1:3</t>
  </si>
  <si>
    <t>30182</t>
  </si>
  <si>
    <t>07.007.0020-B ARGAMASSA CIM.,SAIBRO,AREIA 1:3:3,PREPARO MECANICO</t>
  </si>
  <si>
    <t>20131</t>
  </si>
  <si>
    <t>MAO-DE-OBRA DE SERRALHEIRO DA CONSTRUCAOCIVIL, INCLUSIVE ENCARGOS SOCIAIS DESONERADOS</t>
  </si>
  <si>
    <t>17.018.0110-A</t>
  </si>
  <si>
    <t>05.001.0142-A</t>
  </si>
  <si>
    <t>08.027.0042-A</t>
  </si>
  <si>
    <t>20042</t>
  </si>
  <si>
    <t>MAO-DE-OBRA DE CALCETEIRO, INCLUSIVE ENCARGOS SOCIAS DESONERADOS</t>
  </si>
  <si>
    <t>30280</t>
  </si>
  <si>
    <t>11.004.0001-B FORMAS MADEIRA, PINUS, 20 VEZES</t>
  </si>
  <si>
    <t>30269</t>
  </si>
  <si>
    <t>11.002.0034-B LANCAMENTO CONC.S/ARM.3,5M3/H, HORIZ.</t>
  </si>
  <si>
    <t>30253</t>
  </si>
  <si>
    <t>11.002.0012-B PREPARO CONCR. BETON. 600L; 3,5 M3/H</t>
  </si>
  <si>
    <t>30246</t>
  </si>
  <si>
    <t>11.001.0005-B CONCRETO FCK 15MPA</t>
  </si>
  <si>
    <t>30164</t>
  </si>
  <si>
    <t>07.002.0030-B ARGAMASSA CIM.,AREIA TRACO 1:4,PREPAROMECANICO</t>
  </si>
  <si>
    <t>SI00000094996</t>
  </si>
  <si>
    <t>0004517</t>
  </si>
  <si>
    <t>0004460</t>
  </si>
  <si>
    <t>0003777</t>
  </si>
  <si>
    <t>SI00000088316</t>
  </si>
  <si>
    <t>SI00000088309</t>
  </si>
  <si>
    <t>SI00000088262</t>
  </si>
  <si>
    <t>SI00000094964</t>
  </si>
  <si>
    <t>SI00000094964 CONCRETO FCK = 20MPA, TRAÇO 1:2,7:3 (CIMENTO/ AREIA MÉDIA/ BRITA 1)  - PREPARO MECÂNICO COM BETONEIRA 400 L. AF_07/2016</t>
  </si>
  <si>
    <t>13.333.0010-A</t>
  </si>
  <si>
    <t>20087</t>
  </si>
  <si>
    <t>MAO-DE-OBRA DE LADRILHEIRO, INCLUSIVE ENCARGOS SOCIAIS DESONERADOS</t>
  </si>
  <si>
    <t>30153</t>
  </si>
  <si>
    <t>07.001.0130-B ARGAMASSA CIM.,SAIBRO,AREIA 1:3:3,PREPARO MANUAL</t>
  </si>
  <si>
    <t>30129</t>
  </si>
  <si>
    <t>07.001.0010-B PASTA DE CIMENTO COMUM</t>
  </si>
  <si>
    <t>05.001.0172-A</t>
  </si>
  <si>
    <t>04.014.0095-A</t>
  </si>
  <si>
    <r>
      <t>Data-Base:   EMOP -  RJ / SINAPI -</t>
    </r>
    <r>
      <rPr>
        <b/>
        <sz val="12"/>
        <color indexed="8"/>
        <rFont val="Arial"/>
        <family val="2"/>
      </rPr>
      <t xml:space="preserve"> Deso</t>
    </r>
    <r>
      <rPr>
        <b/>
        <sz val="12"/>
        <color indexed="8"/>
        <rFont val="Arial"/>
        <family val="2"/>
      </rPr>
      <t>nerado -</t>
    </r>
    <r>
      <rPr>
        <sz val="12"/>
        <color indexed="8"/>
        <rFont val="Arial"/>
        <family val="2"/>
      </rPr>
      <t xml:space="preserve"> Base fev-21</t>
    </r>
  </si>
  <si>
    <r>
      <t xml:space="preserve">14.002.0199-A </t>
    </r>
    <r>
      <rPr>
        <b/>
        <sz val="11"/>
        <color indexed="8"/>
        <rFont val="Calibri"/>
        <family val="2"/>
      </rPr>
      <t>(COMPOSIÇÃO)</t>
    </r>
  </si>
  <si>
    <t>Data-Base:   EMOP -  RJ / SINAPI e SCO-RJ- Desonerado - Base Fev-2021</t>
  </si>
  <si>
    <t>60 DIAS</t>
  </si>
  <si>
    <t>Orçamentista: Eng. Patrick Suckow</t>
  </si>
  <si>
    <t>LEVANTAMENTO: Lélia M. Costa Nogueira</t>
  </si>
  <si>
    <t>DATA:03-05-2021</t>
  </si>
  <si>
    <t>ORÇAMENTO: Patrick Suckow</t>
  </si>
  <si>
    <t>PLANILHA ORÇAMENTÁRIA - BDI 28,82</t>
  </si>
  <si>
    <t>MEMÓRIA DE CALCULO</t>
  </si>
  <si>
    <t>FORNECIMENTO E MONTAGEM DE GRADIL ELETROFUNDIDO, COMPOSTO DE PAINEIS CONFECCIONADOS EM ARAMES GALVANIZADOS, MALHA 50X200MM, FIO 5 COM REVESTIMENTO, MUNIDOS DE CURVATURA V PARA ENRIJECIMENTO MECCANICO, FIXADOS ATRAVES DE FIXADORES EM POLIAMIDA NOS MONTANTES EM POSTES RETANGULARES, 40X60MM, ESPESSURA DA CHAPA 1,24MM, SENDO 5 POSTES APAREFUSADOS E 4 CHUMBADOS EM CONCRETO ARMADO FORMANDO 2 CONJUNTOS, UNIDOS 2 A 2 PARA RECEBER O GRADIL E O PORTÃO. POSTES COM FECHAMENTO SUPERIOR EM TAMPA PLASTICA COM PROTECAO ANTI-UV E PINTURA ELETROSTATICA NAS CORES VERDE OU CINZA EM TODO O CONJUNTO. AS DIMENSÕES PRESCRITAS NO PROJETO FORAM OBTIDAS A PARTIR DAS INFORMAÇÕES TECNICAS DOS FRABICANTES DE TODO O CONJUNTO, QUE DEVERÁ OBEDECER AS NORMAS TECNICAS PERTINENTES E POSSUIR AS DEVIDAS CERTIFICAÇÕES.</t>
  </si>
  <si>
    <t>FORNECIMENTO E MONTAGEM DE PORTÃO DE ABRIR, DUAS FOLHAS (1,86X2,75M), CONFORME PROJETO, EM GRADIL ELETROFUNDIDO, COMPOSTO DE PAINEIS CONFECCIONADOS EM ARAMES GALVANIZADO, MALHA 50X200MM, FIO 5 COM REVESTIMENTO, MUNIDOS DE CURVATURA V PARA ENRIJECIMENTO MECCANICO, FIXADOS ATRAVES DE FIXADORES EM POLIAMIDA NOS MONTANTES EM POSTES RETANGULARES, 40X60MM, UNIDOS ATRAVES DE 4 PARES DE DOBRADIÇAS TIPO PALMELA, COM ABERTURAS DE 180° EM MONTANTES DESCRITOS NO ITEM 4.1  DESTA PLANILHA. FAZEM PARTE DO PORTÃO OS BATENTES, TRINCOS E FECHADURA, FINALIZANSO COM A PINTURA ELETROSTATICA NAS CORES VERDE OU CINZA. AS DIMENSÕES PRESCRITAS NO PROJETO FORAM OBTIDAS A PARTIR DAS INFORMAÇÕES TECNICAS DOS FRABICANTES DE TODO O CONJUNTO, QUE DEVERÁ OBEDECER AS NORMAS TECNICAS PERTINENTES E POSSUIR AS DEVIDAS CERTIFICAÇÕES.</t>
  </si>
  <si>
    <t>0010917</t>
  </si>
  <si>
    <t>TELA DE ACO SOLDADA NERVURADA, CA-60, Q-61, (0,97 KG/M2), DIAMETRO DO FIO = 3,4 MM, LARGURA = 2,45 M, ESPACAMENTO DA MALHA = 15 X 15 CM</t>
  </si>
  <si>
    <r>
      <t xml:space="preserve">EXECUÇÃO DE PASSEIO (CALÇADA) OU PISO DE CONCRETO COM CONCRETO MOLDADO IN LOCO, FEITO EM OBRA, ACABAMENTO CONVENCIONAL, ESPESSURA </t>
    </r>
    <r>
      <rPr>
        <b/>
        <sz val="11"/>
        <color indexed="8"/>
        <rFont val="Calibri"/>
        <family val="2"/>
      </rPr>
      <t xml:space="preserve">8 CM, ARMADO COM TELA EM AÇO CA-60, </t>
    </r>
    <r>
      <rPr>
        <sz val="11"/>
        <color theme="1"/>
        <rFont val="Calibri"/>
        <family val="2"/>
        <scheme val="minor"/>
      </rPr>
      <t>3,4MM. AF_07/2016</t>
    </r>
  </si>
  <si>
    <r>
      <t xml:space="preserve">So00000094996 </t>
    </r>
    <r>
      <rPr>
        <b/>
        <sz val="11"/>
        <color indexed="8"/>
        <rFont val="Calibri"/>
        <family val="2"/>
      </rPr>
      <t>(COMPOSIÇÃO)</t>
    </r>
  </si>
  <si>
    <t>So0010917</t>
  </si>
  <si>
    <r>
      <t xml:space="preserve">SI00000094996 </t>
    </r>
    <r>
      <rPr>
        <b/>
        <sz val="11"/>
        <color indexed="8"/>
        <rFont val="Calibri"/>
        <family val="2"/>
      </rPr>
      <t>(COMPOSIÇÃO)</t>
    </r>
  </si>
  <si>
    <t>Calçada de concreto (interna e externa)</t>
  </si>
  <si>
    <r>
      <t xml:space="preserve">EXECUÇÃO DE PASSEIO (CALÇADA) OU PISO DE CONCRETO COM CONCRETO MOLDADO IN LOCO, FEITO EM OBRA, ACABAMENTO CONVENCIONAL, </t>
    </r>
    <r>
      <rPr>
        <b/>
        <sz val="11"/>
        <color indexed="8"/>
        <rFont val="Calibri"/>
        <family val="2"/>
      </rPr>
      <t>ESPESSURA 8 CM, ARMADO COM TELA EM AÇO CA-60, 3,4MM. AF_07/2016 (INTERNA E EXTERNA)</t>
    </r>
  </si>
  <si>
    <t>Gradil eletrofundido</t>
  </si>
  <si>
    <t>EXECUÇÃO DE PASSEIO (CALÇADA) OU PISO DE CONCRETO COM CONCRETO MOLDADO IN LOCO, FEITO EM OBRA, ACABAMENTO CONVENCIONAL, ESPESSURA 8 CM, ARMADO COM TELA EM AÇO CA-60, 3,4MM. AF_07/2016 (INTERNA E EXTERNA)</t>
  </si>
  <si>
    <t>05.001.0001-A</t>
  </si>
  <si>
    <t>DEMOLICAO MANUAL DE CONCRETO SIMPLES COM EMPILHAMENTO LATERAL DENTRO DO CANTEIRO DE SERVICO (OBS.:3%-DESGASTE DE FERRAMENTAS E EPI).</t>
  </si>
  <si>
    <t>PROJETO:  Lélia M. Costa Nogueira</t>
  </si>
  <si>
    <t>PROJETO: Lélia M. Costa Nogueira</t>
  </si>
</sst>
</file>

<file path=xl/styles.xml><?xml version="1.0" encoding="utf-8"?>
<styleSheet xmlns="http://schemas.openxmlformats.org/spreadsheetml/2006/main">
  <numFmts count="13">
    <numFmt numFmtId="44" formatCode="_-&quot;R$&quot;\ * #,##0.00_-;\-&quot;R$&quot;\ * #,##0.00_-;_-&quot;R$&quot;\ * &quot;-&quot;??_-;_-@_-"/>
    <numFmt numFmtId="43" formatCode="_-* #,##0.00_-;\-* #,##0.00_-;_-* &quot;-&quot;??_-;_-@_-"/>
    <numFmt numFmtId="172" formatCode="0.0%"/>
    <numFmt numFmtId="173" formatCode="_([$€]* #,##0.00_);_([$€]* \(#,##0.00\);_([$€]* &quot;-&quot;??_);_(@_)"/>
    <numFmt numFmtId="174" formatCode="_(* #,##0.00_);_(* \(#,##0.00\);_(* &quot;-&quot;??_);_(@_)"/>
    <numFmt numFmtId="194" formatCode="&quot;R$&quot;\ #,##0.00"/>
    <numFmt numFmtId="195" formatCode="General\ "/>
    <numFmt numFmtId="200" formatCode="#,#00"/>
    <numFmt numFmtId="203" formatCode="&quot; R$ &quot;* #,##0.00\ ;&quot; R$ &quot;* \(#,##0.00\);&quot; R$ &quot;* \-#\ ;@\ "/>
    <numFmt numFmtId="204" formatCode="%#,#00"/>
    <numFmt numFmtId="205" formatCode="#.#####"/>
    <numFmt numFmtId="206" formatCode="#,"/>
    <numFmt numFmtId="208" formatCode="0.0000%"/>
  </numFmts>
  <fonts count="3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Switzerland"/>
    </font>
    <font>
      <sz val="20"/>
      <name val="Arial"/>
      <family val="2"/>
    </font>
    <font>
      <sz val="11"/>
      <name val="Switzerland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5"/>
      <color indexed="56"/>
      <name val="Calibri"/>
      <family val="2"/>
    </font>
    <font>
      <sz val="10"/>
      <name val="Times New Roman"/>
      <family val="1"/>
    </font>
    <font>
      <b/>
      <sz val="15"/>
      <color indexed="48"/>
      <name val="Calibri"/>
      <family val="2"/>
    </font>
    <font>
      <b/>
      <sz val="12"/>
      <color indexed="8"/>
      <name val="Arial"/>
      <family val="2"/>
    </font>
    <font>
      <sz val="10"/>
      <name val="Arial"/>
    </font>
    <font>
      <sz val="1"/>
      <color indexed="8"/>
      <name val="Courier New"/>
      <family val="3"/>
    </font>
    <font>
      <sz val="12"/>
      <name val="Courier New"/>
      <family val="3"/>
    </font>
    <font>
      <b/>
      <sz val="1"/>
      <color indexed="8"/>
      <name val="Courier New"/>
      <family val="3"/>
    </font>
    <font>
      <sz val="18"/>
      <name val="Switzerland"/>
    </font>
    <font>
      <sz val="20"/>
      <name val="Switzerland"/>
    </font>
    <font>
      <sz val="22"/>
      <name val="Switzerland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9">
    <xf numFmtId="0" fontId="0" fillId="0" borderId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6" fillId="0" borderId="0">
      <protection locked="0"/>
    </xf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00" fontId="16" fillId="0" borderId="0">
      <protection locked="0"/>
    </xf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6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15" fillId="0" borderId="0"/>
    <xf numFmtId="0" fontId="26" fillId="0" borderId="0"/>
    <xf numFmtId="0" fontId="26" fillId="0" borderId="0"/>
    <xf numFmtId="195" fontId="17" fillId="0" borderId="0"/>
    <xf numFmtId="203" fontId="17" fillId="0" borderId="0"/>
    <xf numFmtId="0" fontId="27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6" fillId="15" borderId="17" applyNumberFormat="0" applyFont="0" applyAlignment="0" applyProtection="0"/>
    <xf numFmtId="0" fontId="26" fillId="15" borderId="17" applyNumberFormat="0" applyFont="0" applyAlignment="0" applyProtection="0"/>
    <xf numFmtId="0" fontId="26" fillId="15" borderId="17" applyNumberFormat="0" applyFont="0" applyAlignment="0" applyProtection="0"/>
    <xf numFmtId="204" fontId="16" fillId="0" borderId="0">
      <protection locked="0"/>
    </xf>
    <xf numFmtId="205" fontId="16" fillId="0" borderId="0">
      <protection locked="0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200" fontId="2" fillId="0" borderId="0" applyFill="0" applyBorder="0" applyAlignment="0" applyProtection="0"/>
    <xf numFmtId="194" fontId="2" fillId="0" borderId="0"/>
    <xf numFmtId="0" fontId="2" fillId="0" borderId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1" fillId="0" borderId="1" applyNumberFormat="0" applyFill="0" applyAlignment="0" applyProtection="0"/>
    <xf numFmtId="206" fontId="18" fillId="0" borderId="0">
      <protection locked="0"/>
    </xf>
    <xf numFmtId="206" fontId="18" fillId="0" borderId="0">
      <protection locked="0"/>
    </xf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 applyAlignment="1">
      <alignment horizontal="justify" vertical="justify" wrapText="1"/>
    </xf>
    <xf numFmtId="49" fontId="29" fillId="16" borderId="2" xfId="39" applyNumberFormat="1" applyFont="1" applyFill="1" applyBorder="1" applyAlignment="1">
      <alignment horizontal="center"/>
    </xf>
    <xf numFmtId="49" fontId="29" fillId="16" borderId="3" xfId="25" applyNumberFormat="1" applyFont="1" applyFill="1" applyBorder="1"/>
    <xf numFmtId="4" fontId="29" fillId="16" borderId="3" xfId="25" applyNumberFormat="1" applyFont="1" applyFill="1" applyBorder="1" applyAlignment="1">
      <alignment horizontal="left" readingOrder="1"/>
    </xf>
    <xf numFmtId="4" fontId="29" fillId="16" borderId="2" xfId="40" applyNumberFormat="1" applyFont="1" applyFill="1" applyBorder="1" applyAlignment="1">
      <alignment horizontal="left" vertical="center"/>
    </xf>
    <xf numFmtId="4" fontId="29" fillId="16" borderId="3" xfId="0" applyNumberFormat="1" applyFont="1" applyFill="1" applyBorder="1" applyAlignment="1">
      <alignment horizontal="left"/>
    </xf>
    <xf numFmtId="4" fontId="29" fillId="16" borderId="3" xfId="39" applyNumberFormat="1" applyFont="1" applyFill="1" applyBorder="1" applyAlignment="1">
      <alignment horizontal="left"/>
    </xf>
    <xf numFmtId="49" fontId="29" fillId="16" borderId="4" xfId="39" applyNumberFormat="1" applyFont="1" applyFill="1" applyBorder="1" applyAlignment="1">
      <alignment horizontal="center"/>
    </xf>
    <xf numFmtId="49" fontId="29" fillId="16" borderId="0" xfId="25" applyNumberFormat="1" applyFont="1" applyFill="1" applyBorder="1"/>
    <xf numFmtId="4" fontId="29" fillId="16" borderId="0" xfId="25" applyNumberFormat="1" applyFont="1" applyFill="1" applyBorder="1" applyAlignment="1">
      <alignment horizontal="left" readingOrder="1"/>
    </xf>
    <xf numFmtId="4" fontId="29" fillId="16" borderId="4" xfId="40" applyNumberFormat="1" applyFont="1" applyFill="1" applyBorder="1" applyAlignment="1">
      <alignment horizontal="left" vertical="center"/>
    </xf>
    <xf numFmtId="4" fontId="29" fillId="16" borderId="0" xfId="39" applyNumberFormat="1" applyFont="1" applyFill="1" applyBorder="1" applyAlignment="1">
      <alignment horizontal="left"/>
    </xf>
    <xf numFmtId="4" fontId="29" fillId="16" borderId="0" xfId="25" applyNumberFormat="1" applyFont="1" applyFill="1" applyBorder="1" applyAlignment="1">
      <alignment horizontal="left"/>
    </xf>
    <xf numFmtId="4" fontId="30" fillId="16" borderId="0" xfId="25" applyNumberFormat="1" applyFont="1" applyFill="1" applyBorder="1" applyAlignment="1">
      <alignment vertical="center" wrapText="1" readingOrder="1"/>
    </xf>
    <xf numFmtId="4" fontId="30" fillId="16" borderId="0" xfId="25" applyNumberFormat="1" applyFont="1" applyFill="1" applyBorder="1"/>
    <xf numFmtId="49" fontId="29" fillId="16" borderId="5" xfId="39" applyNumberFormat="1" applyFont="1" applyFill="1" applyBorder="1" applyAlignment="1">
      <alignment horizontal="center"/>
    </xf>
    <xf numFmtId="49" fontId="29" fillId="16" borderId="6" xfId="40" applyNumberFormat="1" applyFont="1" applyFill="1" applyBorder="1" applyAlignment="1">
      <alignment horizontal="center"/>
    </xf>
    <xf numFmtId="4" fontId="30" fillId="16" borderId="6" xfId="40" applyNumberFormat="1" applyFont="1" applyFill="1" applyBorder="1" applyAlignment="1"/>
    <xf numFmtId="0" fontId="6" fillId="0" borderId="0" xfId="36"/>
    <xf numFmtId="0" fontId="7" fillId="0" borderId="0" xfId="36" applyFont="1"/>
    <xf numFmtId="0" fontId="8" fillId="0" borderId="0" xfId="36" applyFont="1"/>
    <xf numFmtId="0" fontId="7" fillId="0" borderId="0" xfId="36" applyFont="1" applyBorder="1"/>
    <xf numFmtId="4" fontId="7" fillId="0" borderId="0" xfId="36" applyNumberFormat="1" applyFont="1"/>
    <xf numFmtId="0" fontId="28" fillId="0" borderId="0" xfId="0" applyFont="1"/>
    <xf numFmtId="4" fontId="4" fillId="16" borderId="0" xfId="25" applyNumberFormat="1" applyFont="1" applyFill="1" applyBorder="1" applyAlignment="1">
      <alignment vertical="center" wrapText="1" readingOrder="1"/>
    </xf>
    <xf numFmtId="4" fontId="5" fillId="16" borderId="0" xfId="4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/>
    <xf numFmtId="0" fontId="28" fillId="0" borderId="0" xfId="0" applyFont="1" applyBorder="1"/>
    <xf numFmtId="0" fontId="19" fillId="0" borderId="0" xfId="36" applyFont="1"/>
    <xf numFmtId="0" fontId="19" fillId="0" borderId="0" xfId="36" applyFont="1" applyBorder="1"/>
    <xf numFmtId="208" fontId="19" fillId="0" borderId="0" xfId="36" applyNumberFormat="1" applyFont="1"/>
    <xf numFmtId="0" fontId="20" fillId="0" borderId="0" xfId="36" applyFont="1"/>
    <xf numFmtId="4" fontId="21" fillId="0" borderId="0" xfId="36" applyNumberFormat="1" applyFont="1"/>
    <xf numFmtId="0" fontId="23" fillId="0" borderId="7" xfId="36" applyFont="1" applyBorder="1"/>
    <xf numFmtId="0" fontId="23" fillId="0" borderId="0" xfId="36" applyFont="1"/>
    <xf numFmtId="0" fontId="23" fillId="0" borderId="8" xfId="36" applyFont="1" applyBorder="1"/>
    <xf numFmtId="0" fontId="23" fillId="0" borderId="9" xfId="36" applyFont="1" applyBorder="1"/>
    <xf numFmtId="0" fontId="3" fillId="0" borderId="10" xfId="40" applyFont="1" applyFill="1" applyBorder="1" applyAlignment="1">
      <alignment horizontal="center" vertical="center" wrapText="1"/>
    </xf>
    <xf numFmtId="0" fontId="3" fillId="0" borderId="10" xfId="36" applyFont="1" applyBorder="1" applyAlignment="1">
      <alignment horizontal="center"/>
    </xf>
    <xf numFmtId="0" fontId="3" fillId="0" borderId="11" xfId="36" applyFont="1" applyBorder="1" applyAlignment="1">
      <alignment horizontal="center" vertical="center"/>
    </xf>
    <xf numFmtId="0" fontId="3" fillId="0" borderId="7" xfId="36" applyFont="1" applyBorder="1" applyAlignment="1">
      <alignment horizontal="center" vertical="center"/>
    </xf>
    <xf numFmtId="0" fontId="3" fillId="0" borderId="12" xfId="37" applyFont="1" applyFill="1" applyBorder="1" applyAlignment="1">
      <alignment vertical="top"/>
    </xf>
    <xf numFmtId="39" fontId="23" fillId="0" borderId="12" xfId="36" applyNumberFormat="1" applyFont="1" applyBorder="1" applyAlignment="1"/>
    <xf numFmtId="0" fontId="3" fillId="0" borderId="10" xfId="39" applyFont="1" applyFill="1" applyBorder="1" applyAlignment="1">
      <alignment vertical="top"/>
    </xf>
    <xf numFmtId="0" fontId="23" fillId="0" borderId="10" xfId="39" applyFont="1" applyFill="1" applyBorder="1" applyAlignment="1">
      <alignment horizontal="left" vertical="top"/>
    </xf>
    <xf numFmtId="10" fontId="23" fillId="0" borderId="10" xfId="46" applyNumberFormat="1" applyFont="1" applyFill="1" applyBorder="1" applyAlignment="1"/>
    <xf numFmtId="4" fontId="23" fillId="0" borderId="10" xfId="36" applyNumberFormat="1" applyFont="1" applyFill="1" applyBorder="1" applyAlignment="1"/>
    <xf numFmtId="4" fontId="3" fillId="0" borderId="10" xfId="22" applyNumberFormat="1" applyFont="1" applyFill="1" applyBorder="1" applyAlignment="1">
      <alignment horizontal="right"/>
    </xf>
    <xf numFmtId="39" fontId="23" fillId="0" borderId="0" xfId="36" applyNumberFormat="1" applyFont="1"/>
    <xf numFmtId="0" fontId="3" fillId="0" borderId="13" xfId="39" applyFont="1" applyBorder="1" applyAlignment="1">
      <alignment vertical="top"/>
    </xf>
    <xf numFmtId="0" fontId="23" fillId="0" borderId="14" xfId="39" applyFont="1" applyBorder="1" applyAlignment="1">
      <alignment horizontal="left" vertical="top"/>
    </xf>
    <xf numFmtId="10" fontId="23" fillId="16" borderId="13" xfId="46" applyNumberFormat="1" applyFont="1" applyFill="1" applyBorder="1" applyAlignment="1"/>
    <xf numFmtId="4" fontId="23" fillId="0" borderId="14" xfId="36" applyNumberFormat="1" applyFont="1" applyFill="1" applyBorder="1" applyAlignment="1"/>
    <xf numFmtId="4" fontId="3" fillId="0" borderId="11" xfId="22" applyNumberFormat="1" applyFont="1" applyBorder="1"/>
    <xf numFmtId="4" fontId="23" fillId="2" borderId="11" xfId="22" applyNumberFormat="1" applyFont="1" applyFill="1" applyBorder="1"/>
    <xf numFmtId="0" fontId="23" fillId="2" borderId="15" xfId="22" applyFont="1" applyFill="1" applyBorder="1"/>
    <xf numFmtId="172" fontId="3" fillId="2" borderId="15" xfId="46" applyNumberFormat="1" applyFont="1" applyFill="1" applyBorder="1" applyAlignment="1">
      <alignment horizontal="center"/>
    </xf>
    <xf numFmtId="0" fontId="23" fillId="2" borderId="16" xfId="36" applyFont="1" applyFill="1" applyBorder="1"/>
    <xf numFmtId="4" fontId="30" fillId="16" borderId="8" xfId="40" applyNumberFormat="1" applyFont="1" applyFill="1" applyBorder="1" applyAlignment="1">
      <alignment horizontal="left" vertical="center"/>
    </xf>
    <xf numFmtId="0" fontId="4" fillId="16" borderId="8" xfId="0" applyFont="1" applyFill="1" applyBorder="1" applyAlignment="1">
      <alignment horizontal="left" vertical="center" wrapText="1" readingOrder="1"/>
    </xf>
    <xf numFmtId="0" fontId="4" fillId="16" borderId="8" xfId="0" applyFont="1" applyFill="1" applyBorder="1" applyAlignment="1">
      <alignment horizontal="left" vertical="center" wrapText="1"/>
    </xf>
    <xf numFmtId="4" fontId="30" fillId="16" borderId="8" xfId="25" applyNumberFormat="1" applyFont="1" applyFill="1" applyBorder="1" applyAlignment="1">
      <alignment horizontal="left" vertical="center"/>
    </xf>
    <xf numFmtId="0" fontId="4" fillId="16" borderId="9" xfId="40" applyFont="1" applyFill="1" applyBorder="1" applyAlignment="1">
      <alignment horizontal="left"/>
    </xf>
    <xf numFmtId="4" fontId="29" fillId="16" borderId="7" xfId="39" applyNumberFormat="1" applyFont="1" applyFill="1" applyBorder="1" applyAlignment="1">
      <alignment horizontal="left"/>
    </xf>
    <xf numFmtId="4" fontId="29" fillId="16" borderId="8" xfId="25" applyNumberFormat="1" applyFont="1" applyFill="1" applyBorder="1" applyAlignment="1">
      <alignment horizontal="left"/>
    </xf>
    <xf numFmtId="0" fontId="5" fillId="16" borderId="11" xfId="0" applyFont="1" applyFill="1" applyBorder="1" applyAlignment="1">
      <alignment horizontal="center" vertical="center"/>
    </xf>
    <xf numFmtId="0" fontId="5" fillId="16" borderId="2" xfId="0" applyFont="1" applyFill="1" applyBorder="1" applyAlignment="1">
      <alignment horizontal="center" vertical="center"/>
    </xf>
    <xf numFmtId="4" fontId="5" fillId="16" borderId="2" xfId="0" applyNumberFormat="1" applyFont="1" applyFill="1" applyBorder="1" applyAlignment="1">
      <alignment horizontal="center" vertical="center"/>
    </xf>
    <xf numFmtId="4" fontId="5" fillId="16" borderId="10" xfId="0" applyNumberFormat="1" applyFont="1" applyFill="1" applyBorder="1" applyAlignment="1">
      <alignment horizontal="center" vertical="center"/>
    </xf>
    <xf numFmtId="4" fontId="3" fillId="0" borderId="11" xfId="22" applyNumberFormat="1" applyFont="1" applyFill="1" applyBorder="1" applyAlignment="1">
      <alignment horizontal="right"/>
    </xf>
    <xf numFmtId="0" fontId="5" fillId="16" borderId="11" xfId="0" applyFont="1" applyFill="1" applyBorder="1" applyAlignment="1">
      <alignment horizontal="center" vertical="center"/>
    </xf>
    <xf numFmtId="4" fontId="5" fillId="16" borderId="10" xfId="0" applyNumberFormat="1" applyFont="1" applyFill="1" applyBorder="1" applyAlignment="1">
      <alignment horizontal="center" vertical="center"/>
    </xf>
    <xf numFmtId="0" fontId="5" fillId="16" borderId="0" xfId="0" applyFont="1" applyFill="1" applyBorder="1"/>
    <xf numFmtId="0" fontId="0" fillId="17" borderId="0" xfId="0" applyFill="1" applyBorder="1"/>
    <xf numFmtId="0" fontId="0" fillId="17" borderId="0" xfId="0" applyFill="1"/>
    <xf numFmtId="0" fontId="0" fillId="18" borderId="0" xfId="0" applyFill="1" applyBorder="1"/>
    <xf numFmtId="0" fontId="0" fillId="18" borderId="0" xfId="0" applyFill="1"/>
    <xf numFmtId="0" fontId="0" fillId="18" borderId="0" xfId="0" applyFill="1" applyAlignment="1">
      <alignment horizontal="center"/>
    </xf>
    <xf numFmtId="0" fontId="0" fillId="18" borderId="0" xfId="0" applyFill="1" applyAlignment="1">
      <alignment horizontal="justify" vertical="justify"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justify" vertical="justify" wrapText="1"/>
    </xf>
    <xf numFmtId="0" fontId="0" fillId="18" borderId="0" xfId="0" applyFill="1" applyAlignment="1">
      <alignment wrapText="1"/>
    </xf>
    <xf numFmtId="0" fontId="29" fillId="17" borderId="11" xfId="0" applyFont="1" applyFill="1" applyBorder="1" applyAlignment="1">
      <alignment horizontal="center"/>
    </xf>
    <xf numFmtId="0" fontId="29" fillId="17" borderId="11" xfId="0" applyFont="1" applyFill="1" applyBorder="1"/>
    <xf numFmtId="0" fontId="29" fillId="17" borderId="11" xfId="0" applyFont="1" applyFill="1" applyBorder="1" applyAlignment="1">
      <alignment horizontal="justify" vertical="justify" wrapText="1"/>
    </xf>
    <xf numFmtId="0" fontId="29" fillId="17" borderId="2" xfId="0" applyFont="1" applyFill="1" applyBorder="1"/>
    <xf numFmtId="4" fontId="5" fillId="17" borderId="2" xfId="22" applyNumberFormat="1" applyFont="1" applyFill="1" applyBorder="1" applyAlignment="1">
      <alignment horizontal="right"/>
    </xf>
    <xf numFmtId="4" fontId="5" fillId="17" borderId="10" xfId="22" applyNumberFormat="1" applyFont="1" applyFill="1" applyBorder="1" applyAlignment="1">
      <alignment horizontal="right"/>
    </xf>
    <xf numFmtId="0" fontId="28" fillId="17" borderId="0" xfId="0" applyFont="1" applyFill="1" applyBorder="1"/>
    <xf numFmtId="0" fontId="28" fillId="17" borderId="0" xfId="0" applyFont="1" applyFill="1"/>
    <xf numFmtId="0" fontId="0" fillId="17" borderId="0" xfId="0" applyFill="1" applyAlignment="1">
      <alignment horizontal="center"/>
    </xf>
    <xf numFmtId="0" fontId="0" fillId="17" borderId="0" xfId="0" applyFill="1" applyAlignment="1">
      <alignment horizontal="justify" vertical="justify" wrapText="1"/>
    </xf>
    <xf numFmtId="4" fontId="5" fillId="16" borderId="10" xfId="0" applyNumberFormat="1" applyFont="1" applyFill="1" applyBorder="1" applyAlignment="1">
      <alignment horizontal="center" vertical="center"/>
    </xf>
    <xf numFmtId="0" fontId="5" fillId="16" borderId="11" xfId="0" applyFont="1" applyFill="1" applyBorder="1" applyAlignment="1">
      <alignment horizontal="center" vertical="center"/>
    </xf>
    <xf numFmtId="44" fontId="22" fillId="0" borderId="3" xfId="25" applyNumberFormat="1" applyFont="1" applyBorder="1" applyAlignment="1">
      <alignment horizontal="center" vertical="center" wrapText="1" readingOrder="1"/>
    </xf>
    <xf numFmtId="44" fontId="22" fillId="0" borderId="0" xfId="25" applyNumberFormat="1" applyFont="1" applyBorder="1" applyAlignment="1">
      <alignment horizontal="center" vertical="center" wrapText="1" readingOrder="1"/>
    </xf>
    <xf numFmtId="4" fontId="31" fillId="0" borderId="0" xfId="40" applyNumberFormat="1" applyFont="1" applyFill="1" applyBorder="1" applyAlignment="1">
      <alignment horizontal="center" vertical="center" wrapText="1"/>
    </xf>
    <xf numFmtId="4" fontId="31" fillId="0" borderId="6" xfId="40" applyNumberFormat="1" applyFont="1" applyFill="1" applyBorder="1" applyAlignment="1">
      <alignment horizontal="center" vertical="center" wrapText="1"/>
    </xf>
    <xf numFmtId="0" fontId="3" fillId="0" borderId="12" xfId="40" applyFont="1" applyFill="1" applyBorder="1" applyAlignment="1">
      <alignment horizontal="center" vertical="center" wrapText="1"/>
    </xf>
    <xf numFmtId="4" fontId="31" fillId="0" borderId="0" xfId="25" applyNumberFormat="1" applyFont="1" applyFill="1" applyBorder="1" applyAlignment="1">
      <alignment horizontal="center" vertical="center" wrapText="1" readingOrder="1"/>
    </xf>
    <xf numFmtId="0" fontId="23" fillId="0" borderId="0" xfId="40" applyFont="1" applyFill="1" applyBorder="1" applyAlignment="1">
      <alignment horizontal="center"/>
    </xf>
    <xf numFmtId="4" fontId="31" fillId="0" borderId="0" xfId="25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justify" vertical="justify" wrapText="1"/>
    </xf>
    <xf numFmtId="0" fontId="0" fillId="0" borderId="0" xfId="0" applyFill="1" applyBorder="1"/>
    <xf numFmtId="0" fontId="0" fillId="0" borderId="0" xfId="0" applyFill="1" applyAlignment="1">
      <alignment wrapText="1"/>
    </xf>
    <xf numFmtId="0" fontId="0" fillId="19" borderId="0" xfId="0" applyFill="1" applyAlignment="1">
      <alignment horizontal="center"/>
    </xf>
    <xf numFmtId="0" fontId="0" fillId="19" borderId="0" xfId="0" applyFill="1"/>
    <xf numFmtId="0" fontId="0" fillId="19" borderId="0" xfId="0" applyFill="1" applyAlignment="1">
      <alignment horizontal="justify" vertical="justify" wrapText="1"/>
    </xf>
    <xf numFmtId="0" fontId="0" fillId="19" borderId="0" xfId="0" applyFill="1" applyBorder="1"/>
    <xf numFmtId="0" fontId="5" fillId="0" borderId="0" xfId="0" applyFont="1" applyFill="1" applyBorder="1"/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justify" vertical="justify" wrapText="1"/>
    </xf>
    <xf numFmtId="0" fontId="28" fillId="0" borderId="0" xfId="0" applyFont="1" applyFill="1"/>
    <xf numFmtId="0" fontId="28" fillId="0" borderId="0" xfId="0" applyFont="1" applyFill="1" applyBorder="1"/>
    <xf numFmtId="0" fontId="0" fillId="19" borderId="0" xfId="0" applyFill="1" applyAlignment="1">
      <alignment wrapText="1"/>
    </xf>
    <xf numFmtId="4" fontId="23" fillId="0" borderId="7" xfId="36" applyNumberFormat="1" applyFont="1" applyFill="1" applyBorder="1" applyAlignment="1"/>
    <xf numFmtId="0" fontId="28" fillId="0" borderId="0" xfId="0" applyFont="1" applyFill="1" applyAlignment="1">
      <alignment wrapText="1"/>
    </xf>
    <xf numFmtId="4" fontId="5" fillId="17" borderId="11" xfId="22" applyNumberFormat="1" applyFont="1" applyFill="1" applyBorder="1" applyAlignment="1">
      <alignment horizontal="right"/>
    </xf>
    <xf numFmtId="0" fontId="0" fillId="19" borderId="13" xfId="0" applyFill="1" applyBorder="1" applyAlignment="1">
      <alignment horizontal="center"/>
    </xf>
    <xf numFmtId="0" fontId="0" fillId="19" borderId="12" xfId="0" applyFill="1" applyBorder="1"/>
    <xf numFmtId="0" fontId="0" fillId="19" borderId="12" xfId="0" applyFill="1" applyBorder="1" applyAlignment="1">
      <alignment horizontal="justify" vertical="justify" wrapText="1"/>
    </xf>
    <xf numFmtId="0" fontId="0" fillId="19" borderId="14" xfId="0" applyFill="1" applyBorder="1"/>
    <xf numFmtId="0" fontId="0" fillId="19" borderId="12" xfId="0" applyFill="1" applyBorder="1" applyAlignment="1">
      <alignment wrapText="1"/>
    </xf>
    <xf numFmtId="49" fontId="29" fillId="16" borderId="4" xfId="39" applyNumberFormat="1" applyFont="1" applyFill="1" applyBorder="1" applyAlignment="1">
      <alignment horizontal="center" vertical="center" wrapText="1"/>
    </xf>
    <xf numFmtId="49" fontId="29" fillId="16" borderId="0" xfId="39" applyNumberFormat="1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16" borderId="11" xfId="0" applyFont="1" applyFill="1" applyBorder="1" applyAlignment="1">
      <alignment horizontal="center" vertical="center"/>
    </xf>
    <xf numFmtId="0" fontId="5" fillId="16" borderId="11" xfId="0" applyFont="1" applyFill="1" applyBorder="1" applyAlignment="1">
      <alignment horizontal="center" vertical="justify" wrapText="1"/>
    </xf>
    <xf numFmtId="0" fontId="5" fillId="16" borderId="16" xfId="0" applyFont="1" applyFill="1" applyBorder="1" applyAlignment="1">
      <alignment horizontal="center" vertical="justify" wrapText="1"/>
    </xf>
    <xf numFmtId="0" fontId="5" fillId="16" borderId="10" xfId="0" applyFont="1" applyFill="1" applyBorder="1" applyAlignment="1">
      <alignment horizontal="center" vertical="justify" wrapText="1"/>
    </xf>
    <xf numFmtId="4" fontId="5" fillId="16" borderId="10" xfId="0" applyNumberFormat="1" applyFont="1" applyFill="1" applyBorder="1" applyAlignment="1">
      <alignment horizontal="center" vertical="center"/>
    </xf>
    <xf numFmtId="4" fontId="5" fillId="16" borderId="11" xfId="0" applyNumberFormat="1" applyFont="1" applyFill="1" applyBorder="1" applyAlignment="1">
      <alignment horizontal="center" vertical="center"/>
    </xf>
    <xf numFmtId="4" fontId="5" fillId="16" borderId="13" xfId="0" applyNumberFormat="1" applyFont="1" applyFill="1" applyBorder="1" applyAlignment="1">
      <alignment horizontal="center" vertical="center"/>
    </xf>
    <xf numFmtId="4" fontId="5" fillId="16" borderId="12" xfId="0" applyNumberFormat="1" applyFont="1" applyFill="1" applyBorder="1" applyAlignment="1">
      <alignment horizontal="center" vertical="center"/>
    </xf>
    <xf numFmtId="4" fontId="5" fillId="16" borderId="14" xfId="0" applyNumberFormat="1" applyFont="1" applyFill="1" applyBorder="1" applyAlignment="1">
      <alignment horizontal="center" vertical="center"/>
    </xf>
    <xf numFmtId="4" fontId="30" fillId="16" borderId="4" xfId="40" applyNumberFormat="1" applyFont="1" applyFill="1" applyBorder="1" applyAlignment="1">
      <alignment horizontal="left" vertical="center"/>
    </xf>
    <xf numFmtId="4" fontId="30" fillId="16" borderId="0" xfId="40" applyNumberFormat="1" applyFont="1" applyFill="1" applyBorder="1" applyAlignment="1">
      <alignment horizontal="left" vertical="center"/>
    </xf>
    <xf numFmtId="0" fontId="4" fillId="16" borderId="4" xfId="0" applyFont="1" applyFill="1" applyBorder="1" applyAlignment="1">
      <alignment horizontal="left" vertical="center" wrapText="1" readingOrder="1"/>
    </xf>
    <xf numFmtId="0" fontId="4" fillId="16" borderId="0" xfId="0" applyFont="1" applyFill="1" applyBorder="1" applyAlignment="1">
      <alignment horizontal="left" vertical="center" wrapText="1" readingOrder="1"/>
    </xf>
    <xf numFmtId="0" fontId="4" fillId="16" borderId="4" xfId="0" applyFont="1" applyFill="1" applyBorder="1" applyAlignment="1">
      <alignment horizontal="left" vertical="center" wrapText="1"/>
    </xf>
    <xf numFmtId="0" fontId="4" fillId="16" borderId="0" xfId="0" applyFont="1" applyFill="1" applyBorder="1" applyAlignment="1">
      <alignment horizontal="left" vertical="center" wrapText="1"/>
    </xf>
    <xf numFmtId="4" fontId="30" fillId="16" borderId="4" xfId="25" applyNumberFormat="1" applyFont="1" applyFill="1" applyBorder="1" applyAlignment="1">
      <alignment horizontal="left" vertical="center"/>
    </xf>
    <xf numFmtId="4" fontId="30" fillId="16" borderId="0" xfId="25" applyNumberFormat="1" applyFont="1" applyFill="1" applyBorder="1" applyAlignment="1">
      <alignment horizontal="left" vertical="center"/>
    </xf>
    <xf numFmtId="0" fontId="4" fillId="16" borderId="5" xfId="40" applyFont="1" applyFill="1" applyBorder="1" applyAlignment="1">
      <alignment horizontal="left"/>
    </xf>
    <xf numFmtId="0" fontId="4" fillId="16" borderId="6" xfId="40" applyFont="1" applyFill="1" applyBorder="1" applyAlignment="1">
      <alignment horizontal="left"/>
    </xf>
    <xf numFmtId="4" fontId="3" fillId="0" borderId="13" xfId="38" applyNumberFormat="1" applyFont="1" applyBorder="1" applyAlignment="1">
      <alignment horizontal="center"/>
    </xf>
    <xf numFmtId="4" fontId="3" fillId="0" borderId="14" xfId="38" applyNumberFormat="1" applyFont="1" applyBorder="1" applyAlignment="1">
      <alignment horizontal="center"/>
    </xf>
    <xf numFmtId="39" fontId="3" fillId="0" borderId="13" xfId="36" applyNumberFormat="1" applyFont="1" applyBorder="1" applyAlignment="1">
      <alignment horizontal="center"/>
    </xf>
    <xf numFmtId="39" fontId="3" fillId="0" borderId="14" xfId="36" applyNumberFormat="1" applyFont="1" applyBorder="1" applyAlignment="1">
      <alignment horizontal="center"/>
    </xf>
    <xf numFmtId="10" fontId="3" fillId="0" borderId="13" xfId="46" applyNumberFormat="1" applyFont="1" applyBorder="1" applyAlignment="1">
      <alignment horizontal="center"/>
    </xf>
    <xf numFmtId="10" fontId="3" fillId="0" borderId="14" xfId="46" applyNumberFormat="1" applyFont="1" applyBorder="1" applyAlignment="1">
      <alignment horizontal="center"/>
    </xf>
    <xf numFmtId="0" fontId="3" fillId="0" borderId="13" xfId="36" applyFont="1" applyBorder="1" applyAlignment="1">
      <alignment horizontal="left" vertical="top"/>
    </xf>
    <xf numFmtId="0" fontId="3" fillId="0" borderId="14" xfId="36" applyFont="1" applyBorder="1" applyAlignment="1">
      <alignment horizontal="left" vertical="top"/>
    </xf>
    <xf numFmtId="1" fontId="3" fillId="0" borderId="13" xfId="36" applyNumberFormat="1" applyFont="1" applyBorder="1" applyAlignment="1">
      <alignment horizontal="left" vertical="top"/>
    </xf>
    <xf numFmtId="1" fontId="3" fillId="0" borderId="14" xfId="36" applyNumberFormat="1" applyFont="1" applyBorder="1" applyAlignment="1">
      <alignment horizontal="left" vertical="top"/>
    </xf>
    <xf numFmtId="4" fontId="31" fillId="0" borderId="4" xfId="25" applyNumberFormat="1" applyFont="1" applyFill="1" applyBorder="1" applyAlignment="1">
      <alignment horizontal="center" vertical="center" wrapText="1"/>
    </xf>
    <xf numFmtId="4" fontId="31" fillId="0" borderId="0" xfId="25" applyNumberFormat="1" applyFont="1" applyFill="1" applyBorder="1" applyAlignment="1">
      <alignment horizontal="center" vertical="center" wrapText="1"/>
    </xf>
    <xf numFmtId="0" fontId="3" fillId="0" borderId="10" xfId="37" applyFont="1" applyFill="1" applyBorder="1" applyAlignment="1">
      <alignment horizontal="center" vertical="top"/>
    </xf>
    <xf numFmtId="0" fontId="3" fillId="0" borderId="11" xfId="36" applyFont="1" applyBorder="1" applyAlignment="1">
      <alignment horizontal="center" wrapText="1"/>
    </xf>
    <xf numFmtId="0" fontId="3" fillId="0" borderId="15" xfId="36" applyFont="1" applyBorder="1" applyAlignment="1">
      <alignment horizontal="center" wrapText="1"/>
    </xf>
    <xf numFmtId="0" fontId="3" fillId="0" borderId="16" xfId="36" applyFont="1" applyBorder="1" applyAlignment="1">
      <alignment horizontal="center" wrapText="1"/>
    </xf>
    <xf numFmtId="0" fontId="3" fillId="0" borderId="13" xfId="36" applyFont="1" applyBorder="1" applyAlignment="1">
      <alignment horizontal="center"/>
    </xf>
    <xf numFmtId="0" fontId="3" fillId="0" borderId="12" xfId="36" applyFont="1" applyBorder="1" applyAlignment="1">
      <alignment horizontal="center"/>
    </xf>
    <xf numFmtId="0" fontId="3" fillId="0" borderId="14" xfId="36" applyFont="1" applyBorder="1" applyAlignment="1">
      <alignment horizontal="center"/>
    </xf>
    <xf numFmtId="44" fontId="22" fillId="0" borderId="2" xfId="25" applyNumberFormat="1" applyFont="1" applyBorder="1" applyAlignment="1">
      <alignment horizontal="center" vertical="center" wrapText="1" readingOrder="1"/>
    </xf>
    <xf numFmtId="44" fontId="22" fillId="0" borderId="3" xfId="25" applyNumberFormat="1" applyFont="1" applyBorder="1" applyAlignment="1">
      <alignment horizontal="center" vertical="center" wrapText="1" readingOrder="1"/>
    </xf>
    <xf numFmtId="44" fontId="22" fillId="0" borderId="4" xfId="25" applyNumberFormat="1" applyFont="1" applyBorder="1" applyAlignment="1">
      <alignment horizontal="center" vertical="center" wrapText="1" readingOrder="1"/>
    </xf>
    <xf numFmtId="44" fontId="22" fillId="0" borderId="0" xfId="25" applyNumberFormat="1" applyFont="1" applyBorder="1" applyAlignment="1">
      <alignment horizontal="center" vertical="center" wrapText="1" readingOrder="1"/>
    </xf>
    <xf numFmtId="4" fontId="31" fillId="0" borderId="4" xfId="40" applyNumberFormat="1" applyFont="1" applyFill="1" applyBorder="1" applyAlignment="1">
      <alignment horizontal="center" vertical="center" wrapText="1"/>
    </xf>
    <xf numFmtId="4" fontId="31" fillId="0" borderId="0" xfId="40" applyNumberFormat="1" applyFont="1" applyFill="1" applyBorder="1" applyAlignment="1">
      <alignment horizontal="center" vertical="center" wrapText="1"/>
    </xf>
    <xf numFmtId="4" fontId="31" fillId="0" borderId="5" xfId="40" applyNumberFormat="1" applyFont="1" applyFill="1" applyBorder="1" applyAlignment="1">
      <alignment horizontal="center" vertical="center" wrapText="1"/>
    </xf>
    <xf numFmtId="4" fontId="31" fillId="0" borderId="6" xfId="40" applyNumberFormat="1" applyFont="1" applyFill="1" applyBorder="1" applyAlignment="1">
      <alignment horizontal="center" vertical="center" wrapText="1"/>
    </xf>
    <xf numFmtId="0" fontId="3" fillId="0" borderId="13" xfId="40" applyFont="1" applyFill="1" applyBorder="1" applyAlignment="1">
      <alignment horizontal="center" vertical="center" wrapText="1"/>
    </xf>
    <xf numFmtId="0" fontId="3" fillId="0" borderId="12" xfId="40" applyFont="1" applyFill="1" applyBorder="1" applyAlignment="1">
      <alignment horizontal="center" vertical="center" wrapText="1"/>
    </xf>
    <xf numFmtId="4" fontId="31" fillId="0" borderId="4" xfId="25" applyNumberFormat="1" applyFont="1" applyFill="1" applyBorder="1" applyAlignment="1">
      <alignment horizontal="center" vertical="center" wrapText="1" readingOrder="1"/>
    </xf>
    <xf numFmtId="4" fontId="31" fillId="0" borderId="0" xfId="25" applyNumberFormat="1" applyFont="1" applyFill="1" applyBorder="1" applyAlignment="1">
      <alignment horizontal="center" vertical="center" wrapText="1" readingOrder="1"/>
    </xf>
    <xf numFmtId="0" fontId="23" fillId="0" borderId="4" xfId="40" applyFont="1" applyFill="1" applyBorder="1" applyAlignment="1">
      <alignment horizontal="center"/>
    </xf>
    <xf numFmtId="0" fontId="23" fillId="0" borderId="0" xfId="40" applyFont="1" applyFill="1" applyBorder="1" applyAlignment="1">
      <alignment horizontal="center"/>
    </xf>
  </cellXfs>
  <cellStyles count="59">
    <cellStyle name="20% - Ênfase1 2" xfId="1"/>
    <cellStyle name="20% - Ênfase2 2" xfId="2"/>
    <cellStyle name="20% - Ênfase3 2" xfId="3"/>
    <cellStyle name="20% - Ênfase4 2" xfId="4"/>
    <cellStyle name="20% - Ênfase5 2" xfId="5"/>
    <cellStyle name="20% - Ênfase6 2" xfId="6"/>
    <cellStyle name="40% - Ênfase1 2" xfId="7"/>
    <cellStyle name="40% - Ênfase2 2" xfId="8"/>
    <cellStyle name="40% - Ênfase3 2" xfId="9"/>
    <cellStyle name="40% - Ênfase4 2" xfId="10"/>
    <cellStyle name="40% - Ênfase5 2" xfId="11"/>
    <cellStyle name="40% - Ênfase6 2" xfId="12"/>
    <cellStyle name="Data" xfId="13"/>
    <cellStyle name="Euro" xfId="14"/>
    <cellStyle name="Euro 2" xfId="15"/>
    <cellStyle name="Euro 2 2" xfId="16"/>
    <cellStyle name="Fixo" xfId="17"/>
    <cellStyle name="Moeda 2" xfId="18"/>
    <cellStyle name="Moeda 3" xfId="19"/>
    <cellStyle name="Normal" xfId="0" builtinId="0"/>
    <cellStyle name="Normal 10" xfId="20"/>
    <cellStyle name="Normal 11" xfId="21"/>
    <cellStyle name="Normal 2" xfId="22"/>
    <cellStyle name="Normal 2 2" xfId="23"/>
    <cellStyle name="Normal 2 2 2" xfId="24"/>
    <cellStyle name="Normal 2 3" xfId="25"/>
    <cellStyle name="Normal 3" xfId="26"/>
    <cellStyle name="Normal 3 2" xfId="27"/>
    <cellStyle name="Normal 4" xfId="28"/>
    <cellStyle name="Normal 5" xfId="29"/>
    <cellStyle name="Normal 6" xfId="30"/>
    <cellStyle name="Normal 7" xfId="31"/>
    <cellStyle name="Normal 8" xfId="32"/>
    <cellStyle name="Normal 8 2" xfId="33"/>
    <cellStyle name="Normal 9" xfId="34"/>
    <cellStyle name="Normal 9 2" xfId="35"/>
    <cellStyle name="Normal_CRONOGRAMA" xfId="36"/>
    <cellStyle name="Normal_CRUZEI~1" xfId="37"/>
    <cellStyle name="Normal_Orçamento nº057-2003- Esc. Munic. AMPARO revisão" xfId="38"/>
    <cellStyle name="Normal_P_Getulio Vargas" xfId="39"/>
    <cellStyle name="Normal_P_Getulio Vargas 2" xfId="40"/>
    <cellStyle name="Nota 2" xfId="41"/>
    <cellStyle name="Nota 3" xfId="42"/>
    <cellStyle name="Nota 4" xfId="43"/>
    <cellStyle name="Percentual" xfId="44"/>
    <cellStyle name="Ponto" xfId="45"/>
    <cellStyle name="Porcentagem 2" xfId="46"/>
    <cellStyle name="Porcentagem 3" xfId="47"/>
    <cellStyle name="Separador de milhares 15" xfId="48"/>
    <cellStyle name="Separador de milhares 2" xfId="49"/>
    <cellStyle name="TableStyleLight1" xfId="50"/>
    <cellStyle name="Título 1 1" xfId="51"/>
    <cellStyle name="Título 1 1 1" xfId="52"/>
    <cellStyle name="Título 1 1_PLAN   (2)" xfId="53"/>
    <cellStyle name="Titulo1" xfId="54"/>
    <cellStyle name="Titulo2" xfId="55"/>
    <cellStyle name="Vírgula 2" xfId="56"/>
    <cellStyle name="Vírgula 2 2" xfId="57"/>
    <cellStyle name="Vírgula 3" xfId="5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142875</xdr:rowOff>
    </xdr:from>
    <xdr:to>
      <xdr:col>1</xdr:col>
      <xdr:colOff>1171575</xdr:colOff>
      <xdr:row>6</xdr:row>
      <xdr:rowOff>200025</xdr:rowOff>
    </xdr:to>
    <xdr:pic>
      <xdr:nvPicPr>
        <xdr:cNvPr id="3489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42875"/>
          <a:ext cx="1657350" cy="12573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142875</xdr:rowOff>
    </xdr:from>
    <xdr:to>
      <xdr:col>1</xdr:col>
      <xdr:colOff>1171575</xdr:colOff>
      <xdr:row>6</xdr:row>
      <xdr:rowOff>200025</xdr:rowOff>
    </xdr:to>
    <xdr:pic>
      <xdr:nvPicPr>
        <xdr:cNvPr id="358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42875"/>
          <a:ext cx="1657350" cy="12573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247650</xdr:rowOff>
    </xdr:from>
    <xdr:to>
      <xdr:col>6</xdr:col>
      <xdr:colOff>1790700</xdr:colOff>
      <xdr:row>6</xdr:row>
      <xdr:rowOff>285750</xdr:rowOff>
    </xdr:to>
    <xdr:pic>
      <xdr:nvPicPr>
        <xdr:cNvPr id="298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1350" y="247650"/>
          <a:ext cx="1743075" cy="19812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142875</xdr:rowOff>
    </xdr:from>
    <xdr:to>
      <xdr:col>1</xdr:col>
      <xdr:colOff>1171575</xdr:colOff>
      <xdr:row>6</xdr:row>
      <xdr:rowOff>200025</xdr:rowOff>
    </xdr:to>
    <xdr:pic>
      <xdr:nvPicPr>
        <xdr:cNvPr id="3390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42875"/>
          <a:ext cx="1657350" cy="12573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redo.cunha\Documents\Meus%20Documentos\ALFREDO\QUADRA%20PARQUE%20INDEPEND&#202;NCIA\Or&#231;amento%20n&#186;0xx-2014_%20Constru&#231;&#227;o%20de%20Quadra%20Poliesportiva%20Coberta%20Parque%20Independ&#234;nc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redo.cunha\Documents\Meus%20Documentos\PLANEJAMENTO%20PMBM%202019\ATUALIZA&#199;&#195;O%202019%20-%20REVIS&#195;O%20QUADRA%20AYMOR&#201;\Rev130219-Or&#231;amento%20%20n&#186;015-18_Execu&#231;&#227;o%20de%20Quadra%20esportiva_%20Aymor&#233;%20-%20CE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redo.cunha\Desktop\Revis&#227;o%20JAN-18_Or&#231;amento%20ATI%20Vila%20Br&#237;gida%20xlsx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redo\Documents\BACKUP%20SMPU%2017mar2020\SMPU%202020\PRESIDENTE%20KENNEDY%202020\C&#243;pia%20de%20KENNEDY%20ALFREDO%20-%20REV%2011fe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ÓRIA"/>
      <sheetName val="EMOP"/>
      <sheetName val="SUSESP"/>
      <sheetName val="SUSESP SP"/>
      <sheetName val="Cronograma "/>
      <sheetName val="Cronograma  sp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TAÇÕES DE MERCADO"/>
      <sheetName val="MEMORIA  Quant"/>
      <sheetName val="COMPOS. ANALÍTICA"/>
      <sheetName val="SINAPI"/>
      <sheetName val="CRONOG"/>
      <sheetName val="BDI"/>
      <sheetName val="EVENTOGRAMA - R$"/>
      <sheetName val="EVENTOGRAMA - ME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DI - Construção de Edifícios"/>
      <sheetName val="MEMORIA  Quant"/>
      <sheetName val="Compos. Analítica"/>
      <sheetName val="SINAPI"/>
      <sheetName val="Cronogram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ª REVISÃO - OC - ALFREDO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69"/>
  <sheetViews>
    <sheetView view="pageBreakPreview" topLeftCell="A109" zoomScale="70" zoomScaleNormal="100" zoomScaleSheetLayoutView="70" workbookViewId="0">
      <selection activeCell="B13" sqref="B13"/>
    </sheetView>
  </sheetViews>
  <sheetFormatPr defaultRowHeight="15"/>
  <cols>
    <col min="1" max="1" width="9.140625" style="27" customWidth="1"/>
    <col min="2" max="2" width="23.7109375" customWidth="1"/>
    <col min="3" max="3" width="104" style="1" customWidth="1"/>
    <col min="4" max="4" width="17.28515625" bestFit="1" customWidth="1"/>
    <col min="5" max="5" width="10" bestFit="1" customWidth="1"/>
    <col min="6" max="6" width="14.5703125" bestFit="1" customWidth="1"/>
    <col min="7" max="7" width="14.28515625" bestFit="1" customWidth="1"/>
    <col min="8" max="8" width="16.28515625" bestFit="1" customWidth="1"/>
    <col min="9" max="9" width="16.42578125" bestFit="1" customWidth="1"/>
    <col min="10" max="10" width="9.140625" style="28" customWidth="1"/>
    <col min="11" max="12" width="9.85546875" style="28" bestFit="1" customWidth="1"/>
    <col min="13" max="99" width="9.140625" style="28" customWidth="1"/>
  </cols>
  <sheetData>
    <row r="1" spans="1:99" ht="15.75">
      <c r="A1" s="2"/>
      <c r="B1" s="3"/>
      <c r="C1" s="4" t="s">
        <v>5</v>
      </c>
      <c r="D1" s="5"/>
      <c r="E1" s="6"/>
      <c r="F1" s="7"/>
      <c r="G1" s="7"/>
      <c r="H1" s="7"/>
      <c r="I1" s="65"/>
    </row>
    <row r="2" spans="1:99" ht="15.75">
      <c r="A2" s="8"/>
      <c r="B2" s="9"/>
      <c r="C2" s="10" t="s">
        <v>6</v>
      </c>
      <c r="D2" s="11"/>
      <c r="E2" s="12"/>
      <c r="F2" s="13"/>
      <c r="G2" s="13"/>
      <c r="H2" s="13"/>
      <c r="I2" s="66"/>
    </row>
    <row r="3" spans="1:99" ht="15.75">
      <c r="A3" s="8"/>
      <c r="B3" s="9"/>
      <c r="C3" s="10" t="s">
        <v>34</v>
      </c>
      <c r="D3" s="139"/>
      <c r="E3" s="140"/>
      <c r="F3" s="140"/>
      <c r="G3" s="140"/>
      <c r="H3" s="140"/>
      <c r="I3" s="60"/>
    </row>
    <row r="4" spans="1:99" ht="15.75" customHeight="1">
      <c r="A4" s="8"/>
      <c r="B4" s="9"/>
      <c r="C4" s="14" t="s">
        <v>38</v>
      </c>
      <c r="D4" s="141" t="s">
        <v>297</v>
      </c>
      <c r="E4" s="142"/>
      <c r="F4" s="142"/>
      <c r="G4" s="142"/>
      <c r="H4" s="142"/>
      <c r="I4" s="61"/>
    </row>
    <row r="5" spans="1:99" ht="15.75" customHeight="1">
      <c r="A5" s="8"/>
      <c r="B5" s="9"/>
      <c r="C5" s="25" t="s">
        <v>189</v>
      </c>
      <c r="D5" s="143" t="s">
        <v>298</v>
      </c>
      <c r="E5" s="144"/>
      <c r="F5" s="144"/>
      <c r="G5" s="144"/>
      <c r="H5" s="144"/>
      <c r="I5" s="62"/>
    </row>
    <row r="6" spans="1:99" ht="15.75">
      <c r="A6" s="8"/>
      <c r="B6" s="9"/>
      <c r="C6" s="15" t="s">
        <v>291</v>
      </c>
      <c r="D6" s="145" t="s">
        <v>296</v>
      </c>
      <c r="E6" s="146"/>
      <c r="F6" s="146"/>
      <c r="G6" s="146"/>
      <c r="H6" s="146"/>
      <c r="I6" s="63"/>
    </row>
    <row r="7" spans="1:99" ht="15.75">
      <c r="A7" s="8"/>
      <c r="B7" s="9"/>
      <c r="C7" s="26"/>
      <c r="D7" s="145" t="s">
        <v>315</v>
      </c>
      <c r="E7" s="146"/>
      <c r="F7" s="146"/>
      <c r="G7" s="146"/>
      <c r="H7" s="146"/>
      <c r="I7" s="63"/>
    </row>
    <row r="8" spans="1:99" ht="15.75">
      <c r="A8" s="16"/>
      <c r="B8" s="17"/>
      <c r="C8" s="18"/>
      <c r="D8" s="147"/>
      <c r="E8" s="148"/>
      <c r="F8" s="148"/>
      <c r="G8" s="148"/>
      <c r="H8" s="148"/>
      <c r="I8" s="64"/>
    </row>
    <row r="9" spans="1:99" ht="15" customHeight="1">
      <c r="A9" s="127" t="s">
        <v>299</v>
      </c>
      <c r="B9" s="128"/>
      <c r="C9" s="128"/>
      <c r="D9" s="128"/>
      <c r="E9" s="128"/>
      <c r="F9" s="128"/>
      <c r="G9" s="128"/>
      <c r="H9" s="128"/>
      <c r="I9" s="128"/>
    </row>
    <row r="10" spans="1:99" ht="15.75">
      <c r="A10" s="129" t="s">
        <v>7</v>
      </c>
      <c r="B10" s="131" t="s">
        <v>8</v>
      </c>
      <c r="C10" s="133" t="s">
        <v>9</v>
      </c>
      <c r="D10" s="129" t="s">
        <v>3</v>
      </c>
      <c r="E10" s="134" t="s">
        <v>10</v>
      </c>
      <c r="F10" s="136" t="s">
        <v>11</v>
      </c>
      <c r="G10" s="137"/>
      <c r="H10" s="137"/>
      <c r="I10" s="138"/>
    </row>
    <row r="11" spans="1:99" ht="15.75">
      <c r="A11" s="130"/>
      <c r="B11" s="132"/>
      <c r="C11" s="131"/>
      <c r="D11" s="130"/>
      <c r="E11" s="135"/>
      <c r="F11" s="72" t="s">
        <v>212</v>
      </c>
      <c r="G11" s="68" t="s">
        <v>191</v>
      </c>
      <c r="H11" s="69" t="s">
        <v>213</v>
      </c>
      <c r="I11" s="73" t="s">
        <v>192</v>
      </c>
    </row>
    <row r="12" spans="1:99" s="91" customFormat="1" ht="15.75">
      <c r="A12" s="84" t="s">
        <v>4</v>
      </c>
      <c r="B12" s="85"/>
      <c r="C12" s="86" t="s">
        <v>35</v>
      </c>
      <c r="D12" s="85"/>
      <c r="E12" s="85"/>
      <c r="F12" s="85"/>
      <c r="G12" s="87"/>
      <c r="H12" s="88"/>
      <c r="I12" s="89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</row>
    <row r="13" spans="1:99" s="110" customFormat="1" ht="30">
      <c r="A13" s="109" t="s">
        <v>2</v>
      </c>
      <c r="B13" s="110" t="s">
        <v>220</v>
      </c>
      <c r="C13" s="111" t="s">
        <v>40</v>
      </c>
      <c r="D13" s="110" t="s">
        <v>27</v>
      </c>
      <c r="E13" s="110">
        <v>6</v>
      </c>
      <c r="F13" s="110">
        <f>TRUNC(G22,2)</f>
        <v>341.34</v>
      </c>
      <c r="G13" s="110">
        <f>TRUNC(F13*1.2882,2)</f>
        <v>439.71</v>
      </c>
      <c r="H13" s="110">
        <f>TRUNC((E13*F13),2)</f>
        <v>2048.04</v>
      </c>
      <c r="I13" s="110">
        <f>TRUNC((E13*G13),2)</f>
        <v>2638.26</v>
      </c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</row>
    <row r="14" spans="1:99" s="105" customFormat="1">
      <c r="A14" s="104"/>
      <c r="B14" s="105" t="s">
        <v>41</v>
      </c>
      <c r="C14" s="106" t="s">
        <v>42</v>
      </c>
      <c r="D14" s="105" t="s">
        <v>43</v>
      </c>
      <c r="E14" s="105">
        <v>0.3</v>
      </c>
      <c r="F14" s="105">
        <f>TRUNC(11.33,2)</f>
        <v>11.33</v>
      </c>
      <c r="G14" s="105">
        <f t="shared" ref="G14:G21" si="0">TRUNC(E14*F14,2)</f>
        <v>3.39</v>
      </c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</row>
    <row r="15" spans="1:99" s="105" customFormat="1">
      <c r="A15" s="104"/>
      <c r="B15" s="105" t="s">
        <v>44</v>
      </c>
      <c r="C15" s="106" t="s">
        <v>45</v>
      </c>
      <c r="D15" s="105" t="s">
        <v>46</v>
      </c>
      <c r="E15" s="105">
        <v>9.1999999999999993</v>
      </c>
      <c r="F15" s="105">
        <f>TRUNC(3.6241,2)</f>
        <v>3.62</v>
      </c>
      <c r="G15" s="105">
        <f t="shared" si="0"/>
        <v>33.299999999999997</v>
      </c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</row>
    <row r="16" spans="1:99" s="105" customFormat="1">
      <c r="A16" s="104"/>
      <c r="B16" s="105" t="s">
        <v>47</v>
      </c>
      <c r="C16" s="106" t="s">
        <v>48</v>
      </c>
      <c r="D16" s="105" t="s">
        <v>49</v>
      </c>
      <c r="E16" s="105">
        <v>0.2</v>
      </c>
      <c r="F16" s="105">
        <f>TRUNC(54.27,2)</f>
        <v>54.27</v>
      </c>
      <c r="G16" s="105">
        <f t="shared" si="0"/>
        <v>10.85</v>
      </c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</row>
    <row r="17" spans="1:99" s="105" customFormat="1" ht="30">
      <c r="A17" s="104"/>
      <c r="B17" s="105" t="s">
        <v>50</v>
      </c>
      <c r="C17" s="106" t="s">
        <v>51</v>
      </c>
      <c r="D17" s="105" t="s">
        <v>43</v>
      </c>
      <c r="E17" s="105">
        <v>5</v>
      </c>
      <c r="F17" s="105">
        <f>TRUNC(8.6998,2)</f>
        <v>8.69</v>
      </c>
      <c r="G17" s="105">
        <f t="shared" si="0"/>
        <v>43.45</v>
      </c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</row>
    <row r="18" spans="1:99" s="105" customFormat="1">
      <c r="A18" s="104"/>
      <c r="B18" s="105" t="s">
        <v>221</v>
      </c>
      <c r="C18" s="106" t="s">
        <v>222</v>
      </c>
      <c r="D18" s="105" t="s">
        <v>0</v>
      </c>
      <c r="E18" s="105">
        <v>2.06</v>
      </c>
      <c r="F18" s="105">
        <f>TRUNC(13.6,2)</f>
        <v>13.6</v>
      </c>
      <c r="G18" s="105">
        <f t="shared" si="0"/>
        <v>28.01</v>
      </c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</row>
    <row r="19" spans="1:99" s="105" customFormat="1">
      <c r="A19" s="104"/>
      <c r="B19" s="105" t="s">
        <v>223</v>
      </c>
      <c r="C19" s="106" t="s">
        <v>224</v>
      </c>
      <c r="D19" s="105" t="s">
        <v>0</v>
      </c>
      <c r="E19" s="105">
        <v>4.12</v>
      </c>
      <c r="F19" s="105">
        <f>TRUNC(18.77,2)</f>
        <v>18.77</v>
      </c>
      <c r="G19" s="105">
        <f t="shared" si="0"/>
        <v>77.33</v>
      </c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</row>
    <row r="20" spans="1:99" s="105" customFormat="1">
      <c r="A20" s="104"/>
      <c r="B20" s="105" t="s">
        <v>225</v>
      </c>
      <c r="C20" s="106" t="s">
        <v>226</v>
      </c>
      <c r="D20" s="105" t="s">
        <v>0</v>
      </c>
      <c r="E20" s="105">
        <v>2.06</v>
      </c>
      <c r="F20" s="105">
        <f>TRUNC(20.21,2)</f>
        <v>20.21</v>
      </c>
      <c r="G20" s="105">
        <f t="shared" si="0"/>
        <v>41.63</v>
      </c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</row>
    <row r="21" spans="1:99" s="105" customFormat="1">
      <c r="A21" s="104"/>
      <c r="B21" s="105" t="s">
        <v>227</v>
      </c>
      <c r="C21" s="106" t="s">
        <v>228</v>
      </c>
      <c r="D21" s="105" t="s">
        <v>0</v>
      </c>
      <c r="E21" s="105">
        <v>1</v>
      </c>
      <c r="F21" s="105">
        <f>TRUNC(103.3884,2)</f>
        <v>103.38</v>
      </c>
      <c r="G21" s="105">
        <f t="shared" si="0"/>
        <v>103.38</v>
      </c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</row>
    <row r="22" spans="1:99" s="105" customFormat="1">
      <c r="A22" s="104"/>
      <c r="C22" s="106"/>
      <c r="E22" s="105" t="s">
        <v>1</v>
      </c>
      <c r="G22" s="105">
        <f>TRUNC(SUM(G14:G21),2)</f>
        <v>341.34</v>
      </c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</row>
    <row r="23" spans="1:99" s="110" customFormat="1" ht="30">
      <c r="A23" s="109" t="s">
        <v>33</v>
      </c>
      <c r="B23" s="110" t="s">
        <v>229</v>
      </c>
      <c r="C23" s="111" t="s">
        <v>59</v>
      </c>
      <c r="D23" s="110" t="s">
        <v>27</v>
      </c>
      <c r="E23" s="110">
        <v>2.42</v>
      </c>
      <c r="F23" s="110">
        <f>TRUNC(G25,2)</f>
        <v>14</v>
      </c>
      <c r="G23" s="110">
        <f>TRUNC(F23*1.2882,2)</f>
        <v>18.03</v>
      </c>
      <c r="H23" s="110">
        <f>TRUNC((E23*F23),2)</f>
        <v>33.880000000000003</v>
      </c>
      <c r="I23" s="110">
        <f>TRUNC((E23*G23),2)</f>
        <v>43.63</v>
      </c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</row>
    <row r="24" spans="1:99" s="105" customFormat="1">
      <c r="A24" s="104"/>
      <c r="B24" s="105" t="s">
        <v>221</v>
      </c>
      <c r="C24" s="106" t="s">
        <v>222</v>
      </c>
      <c r="D24" s="105" t="s">
        <v>0</v>
      </c>
      <c r="E24" s="105">
        <v>1.03</v>
      </c>
      <c r="F24" s="105">
        <f>TRUNC(13.6,2)</f>
        <v>13.6</v>
      </c>
      <c r="G24" s="105">
        <f>TRUNC(E24*F24,2)</f>
        <v>14</v>
      </c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</row>
    <row r="25" spans="1:99" s="105" customFormat="1">
      <c r="A25" s="104"/>
      <c r="C25" s="106"/>
      <c r="E25" s="105" t="s">
        <v>1</v>
      </c>
      <c r="G25" s="105">
        <f>TRUNC(SUM(G24:G24),2)</f>
        <v>14</v>
      </c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</row>
    <row r="26" spans="1:99" s="110" customFormat="1" ht="30">
      <c r="A26" s="109" t="s">
        <v>36</v>
      </c>
      <c r="B26" s="110" t="s">
        <v>230</v>
      </c>
      <c r="C26" s="111" t="s">
        <v>65</v>
      </c>
      <c r="D26" s="110" t="s">
        <v>66</v>
      </c>
      <c r="E26" s="110">
        <v>6</v>
      </c>
      <c r="F26" s="110">
        <f>TRUNC(G29,2)</f>
        <v>71.72</v>
      </c>
      <c r="G26" s="110">
        <f>TRUNC(F26*1.2882,2)</f>
        <v>92.38</v>
      </c>
      <c r="H26" s="110">
        <f>TRUNC((E26*F26),2)</f>
        <v>430.32</v>
      </c>
      <c r="I26" s="110">
        <f>TRUNC((E26*G26),2)</f>
        <v>554.28</v>
      </c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</row>
    <row r="27" spans="1:99" s="105" customFormat="1">
      <c r="A27" s="104"/>
      <c r="B27" s="105" t="s">
        <v>221</v>
      </c>
      <c r="C27" s="106" t="s">
        <v>222</v>
      </c>
      <c r="D27" s="105" t="s">
        <v>0</v>
      </c>
      <c r="E27" s="105">
        <v>4.6349999999999998</v>
      </c>
      <c r="F27" s="105">
        <f>TRUNC(13.6,2)</f>
        <v>13.6</v>
      </c>
      <c r="G27" s="105">
        <f>TRUNC(E27*F27,2)</f>
        <v>63.03</v>
      </c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</row>
    <row r="28" spans="1:99" s="105" customFormat="1">
      <c r="A28" s="104"/>
      <c r="B28" s="105" t="s">
        <v>231</v>
      </c>
      <c r="C28" s="106" t="s">
        <v>232</v>
      </c>
      <c r="D28" s="105" t="s">
        <v>0</v>
      </c>
      <c r="E28" s="105">
        <v>0.46350000000000002</v>
      </c>
      <c r="F28" s="105">
        <f>TRUNC(18.77,2)</f>
        <v>18.77</v>
      </c>
      <c r="G28" s="105">
        <f>TRUNC(E28*F28,2)</f>
        <v>8.69</v>
      </c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</row>
    <row r="29" spans="1:99" s="105" customFormat="1">
      <c r="A29" s="104"/>
      <c r="C29" s="106"/>
      <c r="E29" s="105" t="s">
        <v>1</v>
      </c>
      <c r="G29" s="105">
        <f>TRUNC(SUM(G27:G28),2)</f>
        <v>71.72</v>
      </c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</row>
    <row r="30" spans="1:99" s="110" customFormat="1" ht="45">
      <c r="A30" s="109" t="s">
        <v>37</v>
      </c>
      <c r="B30" s="110" t="s">
        <v>233</v>
      </c>
      <c r="C30" s="111" t="s">
        <v>70</v>
      </c>
      <c r="D30" s="110" t="s">
        <v>66</v>
      </c>
      <c r="E30" s="110">
        <v>1.7</v>
      </c>
      <c r="F30" s="110">
        <f>TRUNC(G33,2)</f>
        <v>264.86</v>
      </c>
      <c r="G30" s="110">
        <f>TRUNC(F30*1.2882,2)</f>
        <v>341.19</v>
      </c>
      <c r="H30" s="110">
        <f>TRUNC((E30*F30),2)</f>
        <v>450.26</v>
      </c>
      <c r="I30" s="110">
        <f>TRUNC((E30*G30),2)</f>
        <v>580.02</v>
      </c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</row>
    <row r="31" spans="1:99" s="105" customFormat="1">
      <c r="A31" s="104"/>
      <c r="B31" s="105" t="s">
        <v>221</v>
      </c>
      <c r="C31" s="106" t="s">
        <v>222</v>
      </c>
      <c r="D31" s="105" t="s">
        <v>0</v>
      </c>
      <c r="E31" s="105">
        <v>17.201000000000001</v>
      </c>
      <c r="F31" s="105">
        <f>TRUNC(13.6,2)</f>
        <v>13.6</v>
      </c>
      <c r="G31" s="105">
        <f>TRUNC(E31*F31,2)</f>
        <v>233.93</v>
      </c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</row>
    <row r="32" spans="1:99" s="105" customFormat="1">
      <c r="A32" s="104"/>
      <c r="B32" s="105" t="s">
        <v>231</v>
      </c>
      <c r="C32" s="106" t="s">
        <v>232</v>
      </c>
      <c r="D32" s="105" t="s">
        <v>0</v>
      </c>
      <c r="E32" s="105">
        <v>1.6480000000000001</v>
      </c>
      <c r="F32" s="105">
        <f>TRUNC(18.77,2)</f>
        <v>18.77</v>
      </c>
      <c r="G32" s="105">
        <f>TRUNC(E32*F32,2)</f>
        <v>30.93</v>
      </c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</row>
    <row r="33" spans="1:99" s="105" customFormat="1">
      <c r="A33" s="104"/>
      <c r="C33" s="106"/>
      <c r="E33" s="105" t="s">
        <v>1</v>
      </c>
      <c r="G33" s="105">
        <f>TRUNC(SUM(G31:G32),2)</f>
        <v>264.86</v>
      </c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</row>
    <row r="34" spans="1:99" s="110" customFormat="1" ht="45">
      <c r="A34" s="109" t="s">
        <v>60</v>
      </c>
      <c r="B34" s="110" t="s">
        <v>234</v>
      </c>
      <c r="C34" s="111" t="s">
        <v>72</v>
      </c>
      <c r="D34" s="110" t="s">
        <v>27</v>
      </c>
      <c r="E34" s="110">
        <v>12</v>
      </c>
      <c r="F34" s="110">
        <f>TRUNC(G36,2)</f>
        <v>9.8000000000000007</v>
      </c>
      <c r="G34" s="110">
        <f>TRUNC(F34*1.2882,2)</f>
        <v>12.62</v>
      </c>
      <c r="H34" s="110">
        <f>TRUNC((E34*F34),2)</f>
        <v>117.6</v>
      </c>
      <c r="I34" s="110">
        <f>TRUNC((E34*G34),2)</f>
        <v>151.44</v>
      </c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</row>
    <row r="35" spans="1:99" s="105" customFormat="1">
      <c r="A35" s="104"/>
      <c r="B35" s="105" t="s">
        <v>221</v>
      </c>
      <c r="C35" s="106" t="s">
        <v>222</v>
      </c>
      <c r="D35" s="105" t="s">
        <v>0</v>
      </c>
      <c r="E35" s="105">
        <v>0.72099999999999997</v>
      </c>
      <c r="F35" s="105">
        <f>TRUNC(13.6,2)</f>
        <v>13.6</v>
      </c>
      <c r="G35" s="105">
        <f>TRUNC(E35*F35,2)</f>
        <v>9.8000000000000007</v>
      </c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</row>
    <row r="36" spans="1:99" s="105" customFormat="1">
      <c r="A36" s="104"/>
      <c r="C36" s="106"/>
      <c r="E36" s="105" t="s">
        <v>1</v>
      </c>
      <c r="G36" s="105">
        <f>TRUNC(SUM(G35:G35),2)</f>
        <v>9.8000000000000007</v>
      </c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</row>
    <row r="37" spans="1:99" s="110" customFormat="1">
      <c r="A37" s="109" t="s">
        <v>198</v>
      </c>
      <c r="B37" s="110" t="s">
        <v>235</v>
      </c>
      <c r="C37" s="111" t="s">
        <v>200</v>
      </c>
      <c r="D37" s="110" t="s">
        <v>46</v>
      </c>
      <c r="E37" s="110">
        <v>7</v>
      </c>
      <c r="F37" s="110">
        <f>TRUNC(G39,2)</f>
        <v>13.3</v>
      </c>
      <c r="G37" s="110">
        <f>TRUNC(F37*1.2882,2)</f>
        <v>17.13</v>
      </c>
      <c r="H37" s="110">
        <f>TRUNC((E37*F37),2)</f>
        <v>93.1</v>
      </c>
      <c r="I37" s="110">
        <f>TRUNC((E37*G37),2)</f>
        <v>119.91</v>
      </c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</row>
    <row r="38" spans="1:99" s="105" customFormat="1">
      <c r="A38" s="104"/>
      <c r="B38" s="105" t="s">
        <v>221</v>
      </c>
      <c r="C38" s="106" t="s">
        <v>222</v>
      </c>
      <c r="D38" s="105" t="s">
        <v>0</v>
      </c>
      <c r="E38" s="105">
        <v>0.97849999999999993</v>
      </c>
      <c r="F38" s="105">
        <f>TRUNC(13.6,2)</f>
        <v>13.6</v>
      </c>
      <c r="G38" s="105">
        <f>TRUNC(E38*F38,2)</f>
        <v>13.3</v>
      </c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</row>
    <row r="39" spans="1:99" s="105" customFormat="1">
      <c r="A39" s="104"/>
      <c r="C39" s="106"/>
      <c r="E39" s="105" t="s">
        <v>1</v>
      </c>
      <c r="G39" s="105">
        <f>TRUNC(SUM(G38:G38),2)</f>
        <v>13.3</v>
      </c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</row>
    <row r="40" spans="1:99" s="110" customFormat="1">
      <c r="A40" s="109" t="s">
        <v>206</v>
      </c>
      <c r="B40" s="110" t="s">
        <v>236</v>
      </c>
      <c r="C40" s="111" t="s">
        <v>205</v>
      </c>
      <c r="D40" s="110" t="s">
        <v>46</v>
      </c>
      <c r="E40" s="110">
        <v>2</v>
      </c>
      <c r="F40" s="110">
        <f>TRUNC(G42,2)</f>
        <v>16.100000000000001</v>
      </c>
      <c r="G40" s="110">
        <f>TRUNC(F40*1.2882,2)</f>
        <v>20.74</v>
      </c>
      <c r="H40" s="110">
        <f>TRUNC((E40*F40),2)</f>
        <v>32.200000000000003</v>
      </c>
      <c r="I40" s="110">
        <f>TRUNC((E40*G40),2)</f>
        <v>41.48</v>
      </c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</row>
    <row r="41" spans="1:99" s="105" customFormat="1">
      <c r="A41" s="104"/>
      <c r="B41" s="108" t="s">
        <v>221</v>
      </c>
      <c r="C41" s="106" t="s">
        <v>222</v>
      </c>
      <c r="D41" s="105" t="s">
        <v>0</v>
      </c>
      <c r="E41" s="105">
        <v>1.1844999999999999</v>
      </c>
      <c r="F41" s="105">
        <f>TRUNC(13.6,2)</f>
        <v>13.6</v>
      </c>
      <c r="G41" s="105">
        <f>TRUNC(E41*F41,2)</f>
        <v>16.100000000000001</v>
      </c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</row>
    <row r="42" spans="1:99" s="105" customFormat="1">
      <c r="A42" s="104"/>
      <c r="B42" s="108"/>
      <c r="C42" s="106"/>
      <c r="E42" s="105" t="s">
        <v>1</v>
      </c>
      <c r="G42" s="105">
        <f>TRUNC(SUM(G41:G41),2)</f>
        <v>16.100000000000001</v>
      </c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</row>
    <row r="43" spans="1:99" s="76" customFormat="1">
      <c r="A43" s="92" t="s">
        <v>62</v>
      </c>
      <c r="C43" s="93"/>
      <c r="F43" s="76" t="s">
        <v>63</v>
      </c>
      <c r="H43" s="76">
        <f>SUM(H13:H40)</f>
        <v>3205.3999999999996</v>
      </c>
      <c r="I43" s="76">
        <f>SUM(I13:I40)</f>
        <v>4129.0199999999995</v>
      </c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</row>
    <row r="44" spans="1:99" s="91" customFormat="1" ht="15.75">
      <c r="A44" s="84" t="s">
        <v>61</v>
      </c>
      <c r="B44" s="85"/>
      <c r="C44" s="86" t="s">
        <v>193</v>
      </c>
      <c r="D44" s="85"/>
      <c r="E44" s="85"/>
      <c r="F44" s="85"/>
      <c r="G44" s="87"/>
      <c r="H44" s="88"/>
      <c r="I44" s="89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</row>
    <row r="45" spans="1:99" s="110" customFormat="1" ht="60">
      <c r="A45" s="109" t="s">
        <v>73</v>
      </c>
      <c r="B45" s="118" t="s">
        <v>247</v>
      </c>
      <c r="C45" s="111" t="s">
        <v>75</v>
      </c>
      <c r="D45" s="110" t="s">
        <v>66</v>
      </c>
      <c r="E45" s="110">
        <v>1.1000000000000001</v>
      </c>
      <c r="F45" s="110">
        <f>TRUNC(G61,2)</f>
        <v>2117.3000000000002</v>
      </c>
      <c r="G45" s="110">
        <f>TRUNC(F45*1.2882,2)</f>
        <v>2727.5</v>
      </c>
      <c r="H45" s="110">
        <f>TRUNC((E45*F45),2)</f>
        <v>2329.0300000000002</v>
      </c>
      <c r="I45" s="110">
        <f>TRUNC((E45*G45),2)</f>
        <v>3000.25</v>
      </c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</row>
    <row r="46" spans="1:99" s="116" customFormat="1" ht="30">
      <c r="A46" s="114"/>
      <c r="B46" s="113" t="s">
        <v>100</v>
      </c>
      <c r="C46" s="115" t="s">
        <v>101</v>
      </c>
      <c r="D46" s="116" t="s">
        <v>66</v>
      </c>
      <c r="E46" s="116">
        <v>1</v>
      </c>
      <c r="F46" s="116">
        <f>TRUNC(377.53668,2)</f>
        <v>377.53</v>
      </c>
      <c r="G46" s="116">
        <f t="shared" ref="G46:G60" si="1">TRUNC(E46*F46,2)</f>
        <v>377.53</v>
      </c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</row>
    <row r="47" spans="1:99" s="105" customFormat="1">
      <c r="A47" s="104"/>
      <c r="B47" s="108" t="s">
        <v>76</v>
      </c>
      <c r="C47" s="106" t="s">
        <v>77</v>
      </c>
      <c r="D47" s="105" t="s">
        <v>43</v>
      </c>
      <c r="E47" s="105">
        <v>12</v>
      </c>
      <c r="F47" s="105">
        <f>TRUNC(6.5615,2)</f>
        <v>6.56</v>
      </c>
      <c r="G47" s="105">
        <f t="shared" si="1"/>
        <v>78.72</v>
      </c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</row>
    <row r="48" spans="1:99" s="105" customFormat="1">
      <c r="A48" s="104"/>
      <c r="B48" s="108" t="s">
        <v>78</v>
      </c>
      <c r="C48" s="106" t="s">
        <v>79</v>
      </c>
      <c r="D48" s="105" t="s">
        <v>43</v>
      </c>
      <c r="E48" s="105">
        <v>10</v>
      </c>
      <c r="F48" s="105">
        <f>TRUNC(6.701,2)</f>
        <v>6.7</v>
      </c>
      <c r="G48" s="105">
        <f t="shared" si="1"/>
        <v>67</v>
      </c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</row>
    <row r="49" spans="1:99" s="105" customFormat="1">
      <c r="A49" s="104"/>
      <c r="B49" s="108" t="s">
        <v>80</v>
      </c>
      <c r="C49" s="106" t="s">
        <v>81</v>
      </c>
      <c r="D49" s="105" t="s">
        <v>43</v>
      </c>
      <c r="E49" s="105">
        <v>10</v>
      </c>
      <c r="F49" s="105">
        <f>TRUNC(6.1308,2)</f>
        <v>6.13</v>
      </c>
      <c r="G49" s="105">
        <f t="shared" si="1"/>
        <v>61.3</v>
      </c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</row>
    <row r="50" spans="1:99" s="105" customFormat="1">
      <c r="A50" s="104"/>
      <c r="B50" s="108" t="s">
        <v>82</v>
      </c>
      <c r="C50" s="106" t="s">
        <v>83</v>
      </c>
      <c r="D50" s="105" t="s">
        <v>43</v>
      </c>
      <c r="E50" s="105">
        <v>4</v>
      </c>
      <c r="F50" s="105">
        <f>TRUNC(6.1866,2)</f>
        <v>6.18</v>
      </c>
      <c r="G50" s="105">
        <f t="shared" si="1"/>
        <v>24.72</v>
      </c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</row>
    <row r="51" spans="1:99" s="105" customFormat="1">
      <c r="A51" s="104"/>
      <c r="B51" s="108" t="s">
        <v>84</v>
      </c>
      <c r="C51" s="106" t="s">
        <v>85</v>
      </c>
      <c r="D51" s="105" t="s">
        <v>43</v>
      </c>
      <c r="E51" s="105">
        <v>12</v>
      </c>
      <c r="F51" s="105">
        <f>TRUNC(6.1866,2)</f>
        <v>6.18</v>
      </c>
      <c r="G51" s="105">
        <f t="shared" si="1"/>
        <v>74.16</v>
      </c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</row>
    <row r="52" spans="1:99" s="105" customFormat="1">
      <c r="A52" s="104"/>
      <c r="B52" s="108" t="s">
        <v>86</v>
      </c>
      <c r="C52" s="106" t="s">
        <v>87</v>
      </c>
      <c r="D52" s="105" t="s">
        <v>43</v>
      </c>
      <c r="E52" s="105">
        <v>12</v>
      </c>
      <c r="F52" s="105">
        <f>TRUNC(6.2844,2)</f>
        <v>6.28</v>
      </c>
      <c r="G52" s="105">
        <f t="shared" si="1"/>
        <v>75.36</v>
      </c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</row>
    <row r="53" spans="1:99" s="105" customFormat="1">
      <c r="A53" s="104"/>
      <c r="B53" s="108" t="s">
        <v>88</v>
      </c>
      <c r="C53" s="106" t="s">
        <v>89</v>
      </c>
      <c r="D53" s="105" t="s">
        <v>43</v>
      </c>
      <c r="E53" s="105">
        <v>1.8</v>
      </c>
      <c r="F53" s="105">
        <f>TRUNC(7.35,2)</f>
        <v>7.35</v>
      </c>
      <c r="G53" s="105">
        <f t="shared" si="1"/>
        <v>13.23</v>
      </c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</row>
    <row r="54" spans="1:99" s="105" customFormat="1">
      <c r="A54" s="104"/>
      <c r="B54" s="108" t="s">
        <v>221</v>
      </c>
      <c r="C54" s="106" t="s">
        <v>222</v>
      </c>
      <c r="D54" s="105" t="s">
        <v>0</v>
      </c>
      <c r="E54" s="105">
        <v>9.4245000000000001</v>
      </c>
      <c r="F54" s="105">
        <f>TRUNC(13.6,2)</f>
        <v>13.6</v>
      </c>
      <c r="G54" s="105">
        <f t="shared" si="1"/>
        <v>128.16999999999999</v>
      </c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</row>
    <row r="55" spans="1:99" s="105" customFormat="1">
      <c r="A55" s="104"/>
      <c r="B55" s="108" t="s">
        <v>231</v>
      </c>
      <c r="C55" s="106" t="s">
        <v>232</v>
      </c>
      <c r="D55" s="105" t="s">
        <v>0</v>
      </c>
      <c r="E55" s="105">
        <v>0.51500000000000001</v>
      </c>
      <c r="F55" s="105">
        <f>TRUNC(18.77,2)</f>
        <v>18.77</v>
      </c>
      <c r="G55" s="105">
        <f t="shared" si="1"/>
        <v>9.66</v>
      </c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</row>
    <row r="56" spans="1:99" s="105" customFormat="1">
      <c r="A56" s="104"/>
      <c r="B56" s="108" t="s">
        <v>237</v>
      </c>
      <c r="C56" s="106" t="s">
        <v>238</v>
      </c>
      <c r="D56" s="105" t="s">
        <v>0</v>
      </c>
      <c r="E56" s="105">
        <v>0.51500000000000001</v>
      </c>
      <c r="F56" s="105">
        <f>TRUNC(18.77,2)</f>
        <v>18.77</v>
      </c>
      <c r="G56" s="105">
        <f t="shared" si="1"/>
        <v>9.66</v>
      </c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</row>
    <row r="57" spans="1:99" s="105" customFormat="1">
      <c r="A57" s="104"/>
      <c r="B57" s="108" t="s">
        <v>239</v>
      </c>
      <c r="C57" s="106" t="s">
        <v>240</v>
      </c>
      <c r="D57" s="105" t="s">
        <v>0</v>
      </c>
      <c r="E57" s="105">
        <v>6.3345000000000002</v>
      </c>
      <c r="F57" s="105">
        <f>TRUNC(18.77,2)</f>
        <v>18.77</v>
      </c>
      <c r="G57" s="105">
        <f t="shared" si="1"/>
        <v>118.89</v>
      </c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</row>
    <row r="58" spans="1:99" s="105" customFormat="1">
      <c r="A58" s="104"/>
      <c r="B58" s="108" t="s">
        <v>241</v>
      </c>
      <c r="C58" s="106" t="s">
        <v>242</v>
      </c>
      <c r="D58" s="105" t="s">
        <v>27</v>
      </c>
      <c r="E58" s="105">
        <v>14</v>
      </c>
      <c r="F58" s="105">
        <f>TRUNC(77.0262,2)</f>
        <v>77.02</v>
      </c>
      <c r="G58" s="105">
        <f t="shared" si="1"/>
        <v>1078.28</v>
      </c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</row>
    <row r="59" spans="1:99" s="105" customFormat="1">
      <c r="A59" s="104"/>
      <c r="B59" s="108" t="s">
        <v>243</v>
      </c>
      <c r="C59" s="106" t="s">
        <v>244</v>
      </c>
      <c r="D59" s="105" t="s">
        <v>0</v>
      </c>
      <c r="E59" s="105">
        <v>0.80500000000000005</v>
      </c>
      <c r="F59" s="105">
        <f>TRUNC(0.2627,2)</f>
        <v>0.26</v>
      </c>
      <c r="G59" s="105">
        <f t="shared" si="1"/>
        <v>0.2</v>
      </c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</row>
    <row r="60" spans="1:99" s="105" customFormat="1">
      <c r="A60" s="104"/>
      <c r="B60" s="108" t="s">
        <v>245</v>
      </c>
      <c r="C60" s="106" t="s">
        <v>246</v>
      </c>
      <c r="D60" s="105" t="s">
        <v>0</v>
      </c>
      <c r="E60" s="105">
        <v>0.34499999999999997</v>
      </c>
      <c r="F60" s="105">
        <f>TRUNC(1.2297,2)</f>
        <v>1.22</v>
      </c>
      <c r="G60" s="105">
        <f t="shared" si="1"/>
        <v>0.42</v>
      </c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</row>
    <row r="61" spans="1:99" s="105" customFormat="1">
      <c r="A61" s="104"/>
      <c r="B61" s="108"/>
      <c r="C61" s="106"/>
      <c r="E61" s="105" t="s">
        <v>1</v>
      </c>
      <c r="G61" s="105">
        <f>TRUNC(SUM(G46:G60),2)</f>
        <v>2117.3000000000002</v>
      </c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</row>
    <row r="62" spans="1:99" s="76" customFormat="1">
      <c r="A62" s="92" t="s">
        <v>62</v>
      </c>
      <c r="C62" s="93"/>
      <c r="F62" s="76" t="s">
        <v>63</v>
      </c>
      <c r="H62" s="76">
        <f>SUM(H45)</f>
        <v>2329.0300000000002</v>
      </c>
      <c r="I62" s="76">
        <f>SUM(I45)</f>
        <v>3000.25</v>
      </c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</row>
    <row r="63" spans="1:99" s="91" customFormat="1" ht="15.75">
      <c r="A63" s="84" t="s">
        <v>74</v>
      </c>
      <c r="B63" s="85"/>
      <c r="C63" s="86" t="s">
        <v>194</v>
      </c>
      <c r="D63" s="85"/>
      <c r="E63" s="85"/>
      <c r="F63" s="85"/>
      <c r="G63" s="87"/>
      <c r="H63" s="88"/>
      <c r="I63" s="89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</row>
    <row r="64" spans="1:99" s="110" customFormat="1" ht="60">
      <c r="A64" s="109" t="s">
        <v>103</v>
      </c>
      <c r="B64" s="118" t="s">
        <v>248</v>
      </c>
      <c r="C64" s="111" t="s">
        <v>106</v>
      </c>
      <c r="D64" s="110" t="s">
        <v>27</v>
      </c>
      <c r="E64" s="110">
        <v>7.5</v>
      </c>
      <c r="F64" s="110">
        <f>TRUNC(G70,2)</f>
        <v>43.26</v>
      </c>
      <c r="G64" s="110">
        <f>TRUNC(F64*1.2882,2)</f>
        <v>55.72</v>
      </c>
      <c r="H64" s="110">
        <f>TRUNC((E64*F64),2)</f>
        <v>324.45</v>
      </c>
      <c r="I64" s="110">
        <f>TRUNC((E64*G64),2)</f>
        <v>417.9</v>
      </c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2"/>
      <c r="BY64" s="112"/>
      <c r="BZ64" s="112"/>
      <c r="CA64" s="112"/>
      <c r="CB64" s="112"/>
      <c r="CC64" s="112"/>
      <c r="CD64" s="112"/>
      <c r="CE64" s="112"/>
      <c r="CF64" s="112"/>
      <c r="CG64" s="112"/>
      <c r="CH64" s="112"/>
      <c r="CI64" s="112"/>
      <c r="CJ64" s="112"/>
      <c r="CK64" s="112"/>
      <c r="CL64" s="112"/>
      <c r="CM64" s="112"/>
      <c r="CN64" s="112"/>
      <c r="CO64" s="112"/>
      <c r="CP64" s="112"/>
      <c r="CQ64" s="112"/>
      <c r="CR64" s="112"/>
      <c r="CS64" s="112"/>
      <c r="CT64" s="112"/>
      <c r="CU64" s="112"/>
    </row>
    <row r="65" spans="1:99" s="105" customFormat="1">
      <c r="A65" s="104"/>
      <c r="B65" s="108" t="s">
        <v>107</v>
      </c>
      <c r="C65" s="106" t="s">
        <v>108</v>
      </c>
      <c r="D65" s="105" t="s">
        <v>3</v>
      </c>
      <c r="E65" s="105">
        <v>17</v>
      </c>
      <c r="F65" s="105">
        <f>TRUNC(1.05,2)</f>
        <v>1.05</v>
      </c>
      <c r="G65" s="105">
        <f>TRUNC(E65*F65,2)</f>
        <v>17.850000000000001</v>
      </c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</row>
    <row r="66" spans="1:99" s="105" customFormat="1">
      <c r="A66" s="104"/>
      <c r="B66" s="108" t="s">
        <v>109</v>
      </c>
      <c r="C66" s="106" t="s">
        <v>110</v>
      </c>
      <c r="D66" s="105" t="s">
        <v>3</v>
      </c>
      <c r="E66" s="105">
        <v>1</v>
      </c>
      <c r="F66" s="105">
        <f>TRUNC(0.63,2)</f>
        <v>0.63</v>
      </c>
      <c r="G66" s="105">
        <f>TRUNC(E66*F66,2)</f>
        <v>0.63</v>
      </c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</row>
    <row r="67" spans="1:99" s="105" customFormat="1">
      <c r="A67" s="104"/>
      <c r="B67" s="108" t="s">
        <v>221</v>
      </c>
      <c r="C67" s="106" t="s">
        <v>222</v>
      </c>
      <c r="D67" s="105" t="s">
        <v>0</v>
      </c>
      <c r="E67" s="105">
        <v>0.41200000000000003</v>
      </c>
      <c r="F67" s="105">
        <f>TRUNC(13.6,2)</f>
        <v>13.6</v>
      </c>
      <c r="G67" s="105">
        <f>TRUNC(E67*F67,2)</f>
        <v>5.6</v>
      </c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</row>
    <row r="68" spans="1:99" s="105" customFormat="1">
      <c r="A68" s="104"/>
      <c r="B68" s="108" t="s">
        <v>231</v>
      </c>
      <c r="C68" s="106" t="s">
        <v>232</v>
      </c>
      <c r="D68" s="105" t="s">
        <v>0</v>
      </c>
      <c r="E68" s="105">
        <v>0.83430000000000004</v>
      </c>
      <c r="F68" s="105">
        <f>TRUNC(18.77,2)</f>
        <v>18.77</v>
      </c>
      <c r="G68" s="105">
        <f>TRUNC(E68*F68,2)</f>
        <v>15.65</v>
      </c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</row>
    <row r="69" spans="1:99" s="105" customFormat="1">
      <c r="A69" s="104"/>
      <c r="B69" s="108" t="s">
        <v>249</v>
      </c>
      <c r="C69" s="106" t="s">
        <v>250</v>
      </c>
      <c r="D69" s="105" t="s">
        <v>66</v>
      </c>
      <c r="E69" s="105">
        <v>0.01</v>
      </c>
      <c r="F69" s="105">
        <f>TRUNC(353.9191,2)</f>
        <v>353.91</v>
      </c>
      <c r="G69" s="105">
        <f>TRUNC(E69*F69,2)</f>
        <v>3.53</v>
      </c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</row>
    <row r="70" spans="1:99" s="105" customFormat="1">
      <c r="A70" s="104"/>
      <c r="B70" s="108"/>
      <c r="C70" s="106"/>
      <c r="E70" s="105" t="s">
        <v>1</v>
      </c>
      <c r="G70" s="105">
        <f>TRUNC(SUM(G65:G69),2)</f>
        <v>43.26</v>
      </c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</row>
    <row r="71" spans="1:99" s="110" customFormat="1" ht="45">
      <c r="A71" s="109" t="s">
        <v>104</v>
      </c>
      <c r="B71" s="118" t="s">
        <v>251</v>
      </c>
      <c r="C71" s="111" t="s">
        <v>114</v>
      </c>
      <c r="D71" s="110" t="s">
        <v>27</v>
      </c>
      <c r="E71" s="110">
        <v>34</v>
      </c>
      <c r="F71" s="110">
        <f>TRUNC(G76,2)</f>
        <v>27.41</v>
      </c>
      <c r="G71" s="110">
        <f>TRUNC(F71*1.2882,2)</f>
        <v>35.299999999999997</v>
      </c>
      <c r="H71" s="110">
        <f>TRUNC((E71*F71),2)</f>
        <v>931.94</v>
      </c>
      <c r="I71" s="110">
        <f>TRUNC((E71*G71),2)</f>
        <v>1200.2</v>
      </c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2"/>
      <c r="BX71" s="112"/>
      <c r="BY71" s="112"/>
      <c r="BZ71" s="112"/>
      <c r="CA71" s="112"/>
      <c r="CB71" s="112"/>
      <c r="CC71" s="112"/>
      <c r="CD71" s="112"/>
      <c r="CE71" s="112"/>
      <c r="CF71" s="112"/>
      <c r="CG71" s="112"/>
      <c r="CH71" s="112"/>
      <c r="CI71" s="112"/>
      <c r="CJ71" s="112"/>
      <c r="CK71" s="112"/>
      <c r="CL71" s="112"/>
      <c r="CM71" s="112"/>
      <c r="CN71" s="112"/>
      <c r="CO71" s="112"/>
      <c r="CP71" s="112"/>
      <c r="CQ71" s="112"/>
      <c r="CR71" s="112"/>
      <c r="CS71" s="112"/>
      <c r="CT71" s="112"/>
      <c r="CU71" s="112"/>
    </row>
    <row r="72" spans="1:99" s="105" customFormat="1">
      <c r="A72" s="104"/>
      <c r="B72" s="108" t="s">
        <v>221</v>
      </c>
      <c r="C72" s="106" t="s">
        <v>222</v>
      </c>
      <c r="D72" s="105" t="s">
        <v>0</v>
      </c>
      <c r="E72" s="105">
        <v>0.41200000000000003</v>
      </c>
      <c r="F72" s="105">
        <f>TRUNC(13.6,2)</f>
        <v>13.6</v>
      </c>
      <c r="G72" s="105">
        <f>TRUNC(E72*F72,2)</f>
        <v>5.6</v>
      </c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</row>
    <row r="73" spans="1:99" s="105" customFormat="1">
      <c r="A73" s="104"/>
      <c r="B73" s="108" t="s">
        <v>231</v>
      </c>
      <c r="C73" s="106" t="s">
        <v>232</v>
      </c>
      <c r="D73" s="105" t="s">
        <v>0</v>
      </c>
      <c r="E73" s="105">
        <v>0.41200000000000003</v>
      </c>
      <c r="F73" s="105">
        <f>TRUNC(18.77,2)</f>
        <v>18.77</v>
      </c>
      <c r="G73" s="105">
        <f>TRUNC(E73*F73,2)</f>
        <v>7.73</v>
      </c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107"/>
      <c r="CO73" s="107"/>
      <c r="CP73" s="107"/>
      <c r="CQ73" s="107"/>
      <c r="CR73" s="107"/>
      <c r="CS73" s="107"/>
      <c r="CT73" s="107"/>
      <c r="CU73" s="107"/>
    </row>
    <row r="74" spans="1:99" s="105" customFormat="1">
      <c r="A74" s="104"/>
      <c r="B74" s="108" t="s">
        <v>252</v>
      </c>
      <c r="C74" s="106" t="s">
        <v>253</v>
      </c>
      <c r="D74" s="105" t="s">
        <v>27</v>
      </c>
      <c r="E74" s="105">
        <v>1</v>
      </c>
      <c r="F74" s="105">
        <f>TRUNC(5.1387,2)</f>
        <v>5.13</v>
      </c>
      <c r="G74" s="105">
        <f>TRUNC(E74*F74,2)</f>
        <v>5.13</v>
      </c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</row>
    <row r="75" spans="1:99" s="105" customFormat="1">
      <c r="A75" s="104"/>
      <c r="B75" s="108" t="s">
        <v>254</v>
      </c>
      <c r="C75" s="106" t="s">
        <v>255</v>
      </c>
      <c r="D75" s="105" t="s">
        <v>66</v>
      </c>
      <c r="E75" s="105">
        <v>0.03</v>
      </c>
      <c r="F75" s="105">
        <f>TRUNC(298.6272,2)</f>
        <v>298.62</v>
      </c>
      <c r="G75" s="105">
        <f>TRUNC(E75*F75,2)</f>
        <v>8.9499999999999993</v>
      </c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</row>
    <row r="76" spans="1:99" s="105" customFormat="1">
      <c r="A76" s="104"/>
      <c r="B76" s="108"/>
      <c r="C76" s="106"/>
      <c r="E76" s="105" t="s">
        <v>1</v>
      </c>
      <c r="G76" s="105">
        <f>TRUNC(SUM(G72:G75),2)</f>
        <v>27.41</v>
      </c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7"/>
      <c r="CO76" s="107"/>
      <c r="CP76" s="107"/>
      <c r="CQ76" s="107"/>
      <c r="CR76" s="107"/>
      <c r="CS76" s="107"/>
      <c r="CT76" s="107"/>
      <c r="CU76" s="107"/>
    </row>
    <row r="77" spans="1:99" s="76" customFormat="1">
      <c r="A77" s="92" t="s">
        <v>62</v>
      </c>
      <c r="C77" s="93"/>
      <c r="F77" s="76" t="s">
        <v>63</v>
      </c>
      <c r="H77" s="76">
        <f>SUM(H64:H71)</f>
        <v>1256.3900000000001</v>
      </c>
      <c r="I77" s="76">
        <f>SUM(I64:I71)</f>
        <v>1618.1</v>
      </c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</row>
    <row r="78" spans="1:99" s="91" customFormat="1" ht="15.75">
      <c r="A78" s="84" t="s">
        <v>102</v>
      </c>
      <c r="B78" s="85"/>
      <c r="C78" s="86" t="s">
        <v>311</v>
      </c>
      <c r="D78" s="85"/>
      <c r="E78" s="85"/>
      <c r="F78" s="85"/>
      <c r="G78" s="87"/>
      <c r="H78" s="88"/>
      <c r="I78" s="89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</row>
    <row r="79" spans="1:99" s="110" customFormat="1" ht="149.25" customHeight="1">
      <c r="A79" s="109" t="s">
        <v>119</v>
      </c>
      <c r="B79" s="118" t="s">
        <v>292</v>
      </c>
      <c r="C79" s="111" t="s">
        <v>301</v>
      </c>
      <c r="D79" s="110" t="s">
        <v>27</v>
      </c>
      <c r="E79" s="110">
        <v>25.58</v>
      </c>
      <c r="F79" s="110">
        <f>TRUNC(G83+G87,2)</f>
        <v>362.72</v>
      </c>
      <c r="G79" s="110">
        <f>TRUNC(F79*1.2882,2)</f>
        <v>467.25</v>
      </c>
      <c r="H79" s="110">
        <f>TRUNC((E79*F79),2)</f>
        <v>9278.3700000000008</v>
      </c>
      <c r="I79" s="110">
        <f>TRUNC((E79*G79),2)</f>
        <v>11952.25</v>
      </c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12"/>
      <c r="BI79" s="112"/>
      <c r="BJ79" s="112"/>
      <c r="BK79" s="112"/>
      <c r="BL79" s="112"/>
      <c r="BM79" s="112"/>
      <c r="BN79" s="112"/>
      <c r="BO79" s="112"/>
      <c r="BP79" s="112"/>
      <c r="BQ79" s="112"/>
      <c r="BR79" s="112"/>
      <c r="BS79" s="112"/>
      <c r="BT79" s="112"/>
      <c r="BU79" s="112"/>
      <c r="BV79" s="112"/>
      <c r="BW79" s="112"/>
      <c r="BX79" s="112"/>
      <c r="BY79" s="112"/>
      <c r="BZ79" s="112"/>
      <c r="CA79" s="112"/>
      <c r="CB79" s="112"/>
      <c r="CC79" s="112"/>
      <c r="CD79" s="112"/>
      <c r="CE79" s="112"/>
      <c r="CF79" s="112"/>
      <c r="CG79" s="112"/>
      <c r="CH79" s="112"/>
      <c r="CI79" s="112"/>
      <c r="CJ79" s="112"/>
      <c r="CK79" s="112"/>
      <c r="CL79" s="112"/>
      <c r="CM79" s="112"/>
      <c r="CN79" s="112"/>
      <c r="CO79" s="112"/>
      <c r="CP79" s="112"/>
      <c r="CQ79" s="112"/>
      <c r="CR79" s="112"/>
      <c r="CS79" s="112"/>
      <c r="CT79" s="112"/>
      <c r="CU79" s="112"/>
    </row>
    <row r="80" spans="1:99" s="105" customFormat="1">
      <c r="A80" s="104"/>
      <c r="B80" s="108" t="s">
        <v>217</v>
      </c>
      <c r="C80" s="106" t="s">
        <v>28</v>
      </c>
      <c r="D80" s="105" t="s">
        <v>27</v>
      </c>
      <c r="E80" s="105">
        <v>0</v>
      </c>
      <c r="F80" s="105">
        <f>TRUNC(136.2,2)</f>
        <v>136.19999999999999</v>
      </c>
      <c r="G80" s="105">
        <f>TRUNC(E80*F80,2)</f>
        <v>0</v>
      </c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07"/>
      <c r="BX80" s="107"/>
      <c r="BY80" s="107"/>
      <c r="BZ80" s="107"/>
      <c r="CA80" s="107"/>
      <c r="CB80" s="107"/>
      <c r="CC80" s="107"/>
      <c r="CD80" s="107"/>
      <c r="CE80" s="107"/>
      <c r="CF80" s="107"/>
      <c r="CG80" s="107"/>
      <c r="CH80" s="107"/>
      <c r="CI80" s="107"/>
      <c r="CJ80" s="107"/>
      <c r="CK80" s="107"/>
      <c r="CL80" s="107"/>
      <c r="CM80" s="107"/>
      <c r="CN80" s="107"/>
      <c r="CO80" s="107"/>
      <c r="CP80" s="107"/>
      <c r="CQ80" s="107"/>
      <c r="CR80" s="107"/>
      <c r="CS80" s="107"/>
      <c r="CT80" s="107"/>
      <c r="CU80" s="107"/>
    </row>
    <row r="81" spans="1:99" s="105" customFormat="1">
      <c r="A81" s="104"/>
      <c r="B81" s="108" t="s">
        <v>221</v>
      </c>
      <c r="C81" s="106" t="s">
        <v>222</v>
      </c>
      <c r="D81" s="105" t="s">
        <v>0</v>
      </c>
      <c r="E81" s="105">
        <v>3.4505000000000003</v>
      </c>
      <c r="F81" s="105">
        <f>TRUNC(13.6,2)</f>
        <v>13.6</v>
      </c>
      <c r="G81" s="105">
        <f>TRUNC(E81*F81,2)</f>
        <v>46.92</v>
      </c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/>
      <c r="BT81" s="107"/>
      <c r="BU81" s="107"/>
      <c r="BV81" s="107"/>
      <c r="BW81" s="107"/>
      <c r="BX81" s="107"/>
      <c r="BY81" s="107"/>
      <c r="BZ81" s="107"/>
      <c r="CA81" s="107"/>
      <c r="CB81" s="107"/>
      <c r="CC81" s="107"/>
      <c r="CD81" s="107"/>
      <c r="CE81" s="107"/>
      <c r="CF81" s="107"/>
      <c r="CG81" s="107"/>
      <c r="CH81" s="107"/>
      <c r="CI81" s="107"/>
      <c r="CJ81" s="107"/>
      <c r="CK81" s="107"/>
      <c r="CL81" s="107"/>
      <c r="CM81" s="107"/>
      <c r="CN81" s="107"/>
      <c r="CO81" s="107"/>
      <c r="CP81" s="107"/>
      <c r="CQ81" s="107"/>
      <c r="CR81" s="107"/>
      <c r="CS81" s="107"/>
      <c r="CT81" s="107"/>
      <c r="CU81" s="107"/>
    </row>
    <row r="82" spans="1:99" s="105" customFormat="1">
      <c r="A82" s="104"/>
      <c r="B82" s="108" t="s">
        <v>256</v>
      </c>
      <c r="C82" s="106" t="s">
        <v>257</v>
      </c>
      <c r="D82" s="105" t="s">
        <v>0</v>
      </c>
      <c r="E82" s="105">
        <v>3.4505000000000003</v>
      </c>
      <c r="F82" s="105">
        <f>TRUNC(20.21,2)</f>
        <v>20.21</v>
      </c>
      <c r="G82" s="105">
        <f>TRUNC(E82*F82,2)</f>
        <v>69.73</v>
      </c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107"/>
      <c r="BX82" s="107"/>
      <c r="BY82" s="107"/>
      <c r="BZ82" s="107"/>
      <c r="CA82" s="107"/>
      <c r="CB82" s="107"/>
      <c r="CC82" s="107"/>
      <c r="CD82" s="107"/>
      <c r="CE82" s="107"/>
      <c r="CF82" s="107"/>
      <c r="CG82" s="107"/>
      <c r="CH82" s="107"/>
      <c r="CI82" s="107"/>
      <c r="CJ82" s="107"/>
      <c r="CK82" s="107"/>
      <c r="CL82" s="107"/>
      <c r="CM82" s="107"/>
      <c r="CN82" s="107"/>
      <c r="CO82" s="107"/>
      <c r="CP82" s="107"/>
      <c r="CQ82" s="107"/>
      <c r="CR82" s="107"/>
      <c r="CS82" s="107"/>
      <c r="CT82" s="107"/>
      <c r="CU82" s="107"/>
    </row>
    <row r="83" spans="1:99" s="105" customFormat="1">
      <c r="A83" s="104"/>
      <c r="B83" s="108"/>
      <c r="C83" s="106"/>
      <c r="E83" s="105" t="s">
        <v>1</v>
      </c>
      <c r="G83" s="105">
        <f>TRUNC(SUM(G80:G82),2)</f>
        <v>116.65</v>
      </c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  <c r="BV83" s="107"/>
      <c r="BW83" s="107"/>
      <c r="BX83" s="107"/>
      <c r="BY83" s="107"/>
      <c r="BZ83" s="107"/>
      <c r="CA83" s="107"/>
      <c r="CB83" s="107"/>
      <c r="CC83" s="107"/>
      <c r="CD83" s="107"/>
      <c r="CE83" s="107"/>
      <c r="CF83" s="107"/>
      <c r="CG83" s="107"/>
      <c r="CH83" s="107"/>
      <c r="CI83" s="107"/>
      <c r="CJ83" s="107"/>
      <c r="CK83" s="107"/>
      <c r="CL83" s="107"/>
      <c r="CM83" s="107"/>
      <c r="CN83" s="107"/>
      <c r="CO83" s="107"/>
      <c r="CP83" s="107"/>
      <c r="CQ83" s="107"/>
      <c r="CR83" s="107"/>
      <c r="CS83" s="107"/>
      <c r="CT83" s="107"/>
      <c r="CU83" s="107"/>
    </row>
    <row r="84" spans="1:99" s="24" customFormat="1" ht="30">
      <c r="A84" s="81"/>
      <c r="B84" s="24" t="s">
        <v>207</v>
      </c>
      <c r="C84" s="82" t="s">
        <v>201</v>
      </c>
      <c r="D84" s="24" t="s">
        <v>202</v>
      </c>
      <c r="E84" s="24">
        <v>6584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</row>
    <row r="85" spans="1:99" s="24" customFormat="1" ht="30">
      <c r="A85" s="81"/>
      <c r="B85" s="24" t="s">
        <v>209</v>
      </c>
      <c r="C85" s="82" t="s">
        <v>201</v>
      </c>
      <c r="D85" s="24" t="s">
        <v>202</v>
      </c>
      <c r="E85" s="24">
        <v>6591.2</v>
      </c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</row>
    <row r="86" spans="1:99" s="24" customFormat="1" ht="30">
      <c r="A86" s="81"/>
      <c r="B86" s="24" t="s">
        <v>210</v>
      </c>
      <c r="C86" s="82" t="s">
        <v>201</v>
      </c>
      <c r="D86" s="24" t="s">
        <v>202</v>
      </c>
      <c r="E86" s="24">
        <v>5708.5</v>
      </c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</row>
    <row r="87" spans="1:99" s="24" customFormat="1">
      <c r="A87" s="81"/>
      <c r="C87" s="82"/>
      <c r="D87" s="24" t="s">
        <v>211</v>
      </c>
      <c r="E87" s="24">
        <f>(E84+E85+E86)/3</f>
        <v>6294.5666666666666</v>
      </c>
      <c r="F87" s="24" t="s">
        <v>218</v>
      </c>
      <c r="G87" s="24">
        <f>E87/25.58</f>
        <v>246.07375553818088</v>
      </c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</row>
    <row r="88" spans="1:99" s="110" customFormat="1" ht="162" customHeight="1">
      <c r="A88" s="109" t="s">
        <v>120</v>
      </c>
      <c r="B88" s="118" t="s">
        <v>292</v>
      </c>
      <c r="C88" s="111" t="s">
        <v>302</v>
      </c>
      <c r="D88" s="110" t="s">
        <v>27</v>
      </c>
      <c r="E88" s="110">
        <v>5.12</v>
      </c>
      <c r="F88" s="110">
        <f>TRUNC(G92+G96,2)</f>
        <v>990.02</v>
      </c>
      <c r="G88" s="110">
        <f>TRUNC(F88*1.2882,2)</f>
        <v>1275.3399999999999</v>
      </c>
      <c r="H88" s="110">
        <f>TRUNC((E88*F88),2)</f>
        <v>5068.8999999999996</v>
      </c>
      <c r="I88" s="110">
        <f>TRUNC((E88*G88),2)</f>
        <v>6529.74</v>
      </c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2"/>
      <c r="BH88" s="112"/>
      <c r="BI88" s="112"/>
      <c r="BJ88" s="112"/>
      <c r="BK88" s="112"/>
      <c r="BL88" s="112"/>
      <c r="BM88" s="112"/>
      <c r="BN88" s="112"/>
      <c r="BO88" s="112"/>
      <c r="BP88" s="112"/>
      <c r="BQ88" s="112"/>
      <c r="BR88" s="112"/>
      <c r="BS88" s="112"/>
      <c r="BT88" s="112"/>
      <c r="BU88" s="112"/>
      <c r="BV88" s="112"/>
      <c r="BW88" s="112"/>
      <c r="BX88" s="112"/>
      <c r="BY88" s="112"/>
      <c r="BZ88" s="112"/>
      <c r="CA88" s="112"/>
      <c r="CB88" s="112"/>
      <c r="CC88" s="112"/>
      <c r="CD88" s="112"/>
      <c r="CE88" s="112"/>
      <c r="CF88" s="112"/>
      <c r="CG88" s="112"/>
      <c r="CH88" s="112"/>
      <c r="CI88" s="112"/>
      <c r="CJ88" s="112"/>
      <c r="CK88" s="112"/>
      <c r="CL88" s="112"/>
      <c r="CM88" s="112"/>
      <c r="CN88" s="112"/>
      <c r="CO88" s="112"/>
      <c r="CP88" s="112"/>
      <c r="CQ88" s="112"/>
      <c r="CR88" s="112"/>
      <c r="CS88" s="112"/>
      <c r="CT88" s="112"/>
      <c r="CU88" s="112"/>
    </row>
    <row r="89" spans="1:99" s="105" customFormat="1">
      <c r="A89" s="104"/>
      <c r="B89" s="108" t="s">
        <v>217</v>
      </c>
      <c r="C89" s="106" t="s">
        <v>28</v>
      </c>
      <c r="D89" s="105" t="s">
        <v>27</v>
      </c>
      <c r="E89" s="105">
        <v>0</v>
      </c>
      <c r="F89" s="105">
        <f>TRUNC(136.2,2)</f>
        <v>136.19999999999999</v>
      </c>
      <c r="G89" s="105">
        <f>TRUNC(E89*F89,2)</f>
        <v>0</v>
      </c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  <c r="BJ89" s="107"/>
      <c r="BK89" s="107"/>
      <c r="BL89" s="107"/>
      <c r="BM89" s="107"/>
      <c r="BN89" s="107"/>
      <c r="BO89" s="107"/>
      <c r="BP89" s="107"/>
      <c r="BQ89" s="107"/>
      <c r="BR89" s="107"/>
      <c r="BS89" s="107"/>
      <c r="BT89" s="107"/>
      <c r="BU89" s="107"/>
      <c r="BV89" s="107"/>
      <c r="BW89" s="107"/>
      <c r="BX89" s="107"/>
      <c r="BY89" s="107"/>
      <c r="BZ89" s="107"/>
      <c r="CA89" s="107"/>
      <c r="CB89" s="107"/>
      <c r="CC89" s="107"/>
      <c r="CD89" s="107"/>
      <c r="CE89" s="107"/>
      <c r="CF89" s="107"/>
      <c r="CG89" s="107"/>
      <c r="CH89" s="107"/>
      <c r="CI89" s="107"/>
      <c r="CJ89" s="107"/>
      <c r="CK89" s="107"/>
      <c r="CL89" s="107"/>
      <c r="CM89" s="107"/>
      <c r="CN89" s="107"/>
      <c r="CO89" s="107"/>
      <c r="CP89" s="107"/>
      <c r="CQ89" s="107"/>
      <c r="CR89" s="107"/>
      <c r="CS89" s="107"/>
      <c r="CT89" s="107"/>
      <c r="CU89" s="107"/>
    </row>
    <row r="90" spans="1:99" s="105" customFormat="1">
      <c r="A90" s="104"/>
      <c r="B90" s="108" t="s">
        <v>221</v>
      </c>
      <c r="C90" s="106" t="s">
        <v>222</v>
      </c>
      <c r="D90" s="105" t="s">
        <v>0</v>
      </c>
      <c r="E90" s="105">
        <v>3.4505000000000003</v>
      </c>
      <c r="F90" s="105">
        <f>TRUNC(13.6,2)</f>
        <v>13.6</v>
      </c>
      <c r="G90" s="105">
        <f>TRUNC(E90*F90,2)</f>
        <v>46.92</v>
      </c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  <c r="BK90" s="107"/>
      <c r="BL90" s="107"/>
      <c r="BM90" s="107"/>
      <c r="BN90" s="107"/>
      <c r="BO90" s="107"/>
      <c r="BP90" s="107"/>
      <c r="BQ90" s="107"/>
      <c r="BR90" s="107"/>
      <c r="BS90" s="107"/>
      <c r="BT90" s="107"/>
      <c r="BU90" s="107"/>
      <c r="BV90" s="107"/>
      <c r="BW90" s="107"/>
      <c r="BX90" s="107"/>
      <c r="BY90" s="107"/>
      <c r="BZ90" s="107"/>
      <c r="CA90" s="107"/>
      <c r="CB90" s="107"/>
      <c r="CC90" s="107"/>
      <c r="CD90" s="107"/>
      <c r="CE90" s="107"/>
      <c r="CF90" s="107"/>
      <c r="CG90" s="107"/>
      <c r="CH90" s="107"/>
      <c r="CI90" s="107"/>
      <c r="CJ90" s="107"/>
      <c r="CK90" s="107"/>
      <c r="CL90" s="107"/>
      <c r="CM90" s="107"/>
      <c r="CN90" s="107"/>
      <c r="CO90" s="107"/>
      <c r="CP90" s="107"/>
      <c r="CQ90" s="107"/>
      <c r="CR90" s="107"/>
      <c r="CS90" s="107"/>
      <c r="CT90" s="107"/>
      <c r="CU90" s="107"/>
    </row>
    <row r="91" spans="1:99" s="105" customFormat="1">
      <c r="A91" s="104"/>
      <c r="B91" s="108" t="s">
        <v>256</v>
      </c>
      <c r="C91" s="106" t="s">
        <v>257</v>
      </c>
      <c r="D91" s="105" t="s">
        <v>0</v>
      </c>
      <c r="E91" s="105">
        <v>3.4505000000000003</v>
      </c>
      <c r="F91" s="105">
        <f>TRUNC(20.21,2)</f>
        <v>20.21</v>
      </c>
      <c r="G91" s="105">
        <f>TRUNC(E91*F91,2)</f>
        <v>69.73</v>
      </c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  <c r="BH91" s="107"/>
      <c r="BI91" s="107"/>
      <c r="BJ91" s="107"/>
      <c r="BK91" s="107"/>
      <c r="BL91" s="107"/>
      <c r="BM91" s="107"/>
      <c r="BN91" s="107"/>
      <c r="BO91" s="107"/>
      <c r="BP91" s="107"/>
      <c r="BQ91" s="107"/>
      <c r="BR91" s="107"/>
      <c r="BS91" s="107"/>
      <c r="BT91" s="107"/>
      <c r="BU91" s="107"/>
      <c r="BV91" s="107"/>
      <c r="BW91" s="107"/>
      <c r="BX91" s="107"/>
      <c r="BY91" s="107"/>
      <c r="BZ91" s="107"/>
      <c r="CA91" s="107"/>
      <c r="CB91" s="107"/>
      <c r="CC91" s="107"/>
      <c r="CD91" s="107"/>
      <c r="CE91" s="107"/>
      <c r="CF91" s="107"/>
      <c r="CG91" s="107"/>
      <c r="CH91" s="107"/>
      <c r="CI91" s="107"/>
      <c r="CJ91" s="107"/>
      <c r="CK91" s="107"/>
      <c r="CL91" s="107"/>
      <c r="CM91" s="107"/>
      <c r="CN91" s="107"/>
      <c r="CO91" s="107"/>
      <c r="CP91" s="107"/>
      <c r="CQ91" s="107"/>
      <c r="CR91" s="107"/>
      <c r="CS91" s="107"/>
      <c r="CT91" s="107"/>
      <c r="CU91" s="107"/>
    </row>
    <row r="92" spans="1:99" s="105" customFormat="1">
      <c r="A92" s="104"/>
      <c r="B92" s="108"/>
      <c r="C92" s="106"/>
      <c r="E92" s="105" t="s">
        <v>1</v>
      </c>
      <c r="G92" s="105">
        <f>TRUNC(SUM(G89:G91),2)</f>
        <v>116.65</v>
      </c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07"/>
      <c r="BG92" s="107"/>
      <c r="BH92" s="107"/>
      <c r="BI92" s="107"/>
      <c r="BJ92" s="107"/>
      <c r="BK92" s="107"/>
      <c r="BL92" s="107"/>
      <c r="BM92" s="107"/>
      <c r="BN92" s="107"/>
      <c r="BO92" s="107"/>
      <c r="BP92" s="107"/>
      <c r="BQ92" s="107"/>
      <c r="BR92" s="107"/>
      <c r="BS92" s="107"/>
      <c r="BT92" s="107"/>
      <c r="BU92" s="107"/>
      <c r="BV92" s="107"/>
      <c r="BW92" s="107"/>
      <c r="BX92" s="107"/>
      <c r="BY92" s="107"/>
      <c r="BZ92" s="107"/>
      <c r="CA92" s="107"/>
      <c r="CB92" s="107"/>
      <c r="CC92" s="107"/>
      <c r="CD92" s="107"/>
      <c r="CE92" s="107"/>
      <c r="CF92" s="107"/>
      <c r="CG92" s="107"/>
      <c r="CH92" s="107"/>
      <c r="CI92" s="107"/>
      <c r="CJ92" s="107"/>
      <c r="CK92" s="107"/>
      <c r="CL92" s="107"/>
      <c r="CM92" s="107"/>
      <c r="CN92" s="107"/>
      <c r="CO92" s="107"/>
      <c r="CP92" s="107"/>
      <c r="CQ92" s="107"/>
      <c r="CR92" s="107"/>
      <c r="CS92" s="107"/>
      <c r="CT92" s="107"/>
      <c r="CU92" s="107"/>
    </row>
    <row r="93" spans="1:99" s="24" customFormat="1">
      <c r="A93" s="81"/>
      <c r="B93" s="24" t="s">
        <v>207</v>
      </c>
      <c r="C93" s="82" t="s">
        <v>208</v>
      </c>
      <c r="D93" s="24" t="s">
        <v>3</v>
      </c>
      <c r="E93" s="24">
        <v>4092</v>
      </c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</row>
    <row r="94" spans="1:99" s="24" customFormat="1">
      <c r="A94" s="81"/>
      <c r="B94" s="24" t="s">
        <v>209</v>
      </c>
      <c r="C94" s="82" t="s">
        <v>208</v>
      </c>
      <c r="D94" s="24" t="s">
        <v>3</v>
      </c>
      <c r="E94" s="24">
        <v>7482.64</v>
      </c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</row>
    <row r="95" spans="1:99" s="24" customFormat="1">
      <c r="A95" s="81"/>
      <c r="B95" s="24" t="s">
        <v>210</v>
      </c>
      <c r="C95" s="82" t="s">
        <v>208</v>
      </c>
      <c r="D95" s="24" t="s">
        <v>3</v>
      </c>
      <c r="E95" s="24">
        <v>4200</v>
      </c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</row>
    <row r="96" spans="1:99" s="24" customFormat="1">
      <c r="A96" s="81"/>
      <c r="C96" s="82"/>
      <c r="D96" s="24" t="s">
        <v>211</v>
      </c>
      <c r="E96" s="24">
        <f>(E93+E94+E95)/3</f>
        <v>5258.2133333333331</v>
      </c>
      <c r="F96" s="24" t="s">
        <v>218</v>
      </c>
      <c r="G96" s="24">
        <v>873.3789507983056</v>
      </c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</row>
    <row r="97" spans="1:99" s="76" customFormat="1">
      <c r="A97" s="92" t="s">
        <v>24</v>
      </c>
      <c r="C97" s="93"/>
      <c r="D97" s="76" t="s">
        <v>63</v>
      </c>
      <c r="H97" s="76">
        <f>SUM(H79:H88)</f>
        <v>14347.27</v>
      </c>
      <c r="I97" s="76">
        <f>SUM(I79:I88)</f>
        <v>18481.989999999998</v>
      </c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</row>
    <row r="98" spans="1:99" s="91" customFormat="1" ht="15.75">
      <c r="A98" s="84" t="s">
        <v>121</v>
      </c>
      <c r="B98" s="85"/>
      <c r="C98" s="86" t="s">
        <v>195</v>
      </c>
      <c r="D98" s="85"/>
      <c r="E98" s="85"/>
      <c r="F98" s="85"/>
      <c r="G98" s="87"/>
      <c r="H98" s="88"/>
      <c r="I98" s="89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M98" s="90"/>
      <c r="CN98" s="90"/>
      <c r="CO98" s="90"/>
      <c r="CP98" s="90"/>
      <c r="CQ98" s="90"/>
      <c r="CR98" s="90"/>
      <c r="CS98" s="90"/>
      <c r="CT98" s="90"/>
      <c r="CU98" s="90"/>
    </row>
    <row r="99" spans="1:99" s="110" customFormat="1" ht="60">
      <c r="A99" s="109" t="s">
        <v>122</v>
      </c>
      <c r="B99" s="118" t="s">
        <v>258</v>
      </c>
      <c r="C99" s="111" t="s">
        <v>124</v>
      </c>
      <c r="D99" s="110" t="s">
        <v>27</v>
      </c>
      <c r="E99" s="110">
        <v>34</v>
      </c>
      <c r="F99" s="110">
        <f>TRUNC(G105,2)</f>
        <v>14.82</v>
      </c>
      <c r="G99" s="110">
        <f>TRUNC(F99*1.2882,2)</f>
        <v>19.09</v>
      </c>
      <c r="H99" s="110">
        <f>TRUNC((E99*F99),2)</f>
        <v>503.88</v>
      </c>
      <c r="I99" s="110">
        <f>TRUNC((E99*G99),2)</f>
        <v>649.05999999999995</v>
      </c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2"/>
      <c r="AS99" s="112"/>
      <c r="AT99" s="112"/>
      <c r="AU99" s="112"/>
      <c r="AV99" s="112"/>
      <c r="AW99" s="112"/>
      <c r="AX99" s="112"/>
      <c r="AY99" s="112"/>
      <c r="AZ99" s="112"/>
      <c r="BA99" s="112"/>
      <c r="BB99" s="112"/>
      <c r="BC99" s="112"/>
      <c r="BD99" s="112"/>
      <c r="BE99" s="112"/>
      <c r="BF99" s="112"/>
      <c r="BG99" s="112"/>
      <c r="BH99" s="112"/>
      <c r="BI99" s="112"/>
      <c r="BJ99" s="112"/>
      <c r="BK99" s="112"/>
      <c r="BL99" s="112"/>
      <c r="BM99" s="112"/>
      <c r="BN99" s="112"/>
      <c r="BO99" s="112"/>
      <c r="BP99" s="112"/>
      <c r="BQ99" s="112"/>
      <c r="BR99" s="112"/>
      <c r="BS99" s="112"/>
      <c r="BT99" s="112"/>
      <c r="BU99" s="112"/>
      <c r="BV99" s="112"/>
      <c r="BW99" s="112"/>
      <c r="BX99" s="112"/>
      <c r="BY99" s="112"/>
      <c r="BZ99" s="112"/>
      <c r="CA99" s="112"/>
      <c r="CB99" s="112"/>
      <c r="CC99" s="112"/>
      <c r="CD99" s="112"/>
      <c r="CE99" s="112"/>
      <c r="CF99" s="112"/>
      <c r="CG99" s="112"/>
      <c r="CH99" s="112"/>
      <c r="CI99" s="112"/>
      <c r="CJ99" s="112"/>
      <c r="CK99" s="112"/>
      <c r="CL99" s="112"/>
      <c r="CM99" s="112"/>
      <c r="CN99" s="112"/>
      <c r="CO99" s="112"/>
      <c r="CP99" s="112"/>
      <c r="CQ99" s="112"/>
      <c r="CR99" s="112"/>
      <c r="CS99" s="112"/>
      <c r="CT99" s="112"/>
      <c r="CU99" s="112"/>
    </row>
    <row r="100" spans="1:99" s="105" customFormat="1">
      <c r="A100" s="104"/>
      <c r="B100" s="108" t="s">
        <v>125</v>
      </c>
      <c r="C100" s="106" t="s">
        <v>126</v>
      </c>
      <c r="D100" s="105" t="s">
        <v>3</v>
      </c>
      <c r="E100" s="105">
        <v>0.5</v>
      </c>
      <c r="F100" s="105">
        <f>TRUNC(0.81,2)</f>
        <v>0.81</v>
      </c>
      <c r="G100" s="105">
        <f>TRUNC(E100*F100,2)</f>
        <v>0.4</v>
      </c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7"/>
      <c r="BD100" s="107"/>
      <c r="BE100" s="107"/>
      <c r="BF100" s="107"/>
      <c r="BG100" s="107"/>
      <c r="BH100" s="107"/>
      <c r="BI100" s="107"/>
      <c r="BJ100" s="107"/>
      <c r="BK100" s="107"/>
      <c r="BL100" s="107"/>
      <c r="BM100" s="107"/>
      <c r="BN100" s="107"/>
      <c r="BO100" s="107"/>
      <c r="BP100" s="107"/>
      <c r="BQ100" s="107"/>
      <c r="BR100" s="107"/>
      <c r="BS100" s="107"/>
      <c r="BT100" s="107"/>
      <c r="BU100" s="107"/>
      <c r="BV100" s="107"/>
      <c r="BW100" s="107"/>
      <c r="BX100" s="107"/>
      <c r="BY100" s="107"/>
      <c r="BZ100" s="107"/>
      <c r="CA100" s="107"/>
      <c r="CB100" s="107"/>
      <c r="CC100" s="107"/>
      <c r="CD100" s="107"/>
      <c r="CE100" s="107"/>
      <c r="CF100" s="107"/>
      <c r="CG100" s="107"/>
      <c r="CH100" s="107"/>
      <c r="CI100" s="107"/>
      <c r="CJ100" s="107"/>
      <c r="CK100" s="107"/>
      <c r="CL100" s="107"/>
      <c r="CM100" s="107"/>
      <c r="CN100" s="107"/>
      <c r="CO100" s="107"/>
      <c r="CP100" s="107"/>
      <c r="CQ100" s="107"/>
      <c r="CR100" s="107"/>
      <c r="CS100" s="107"/>
      <c r="CT100" s="107"/>
      <c r="CU100" s="107"/>
    </row>
    <row r="101" spans="1:99" s="105" customFormat="1">
      <c r="A101" s="104"/>
      <c r="B101" s="108" t="s">
        <v>127</v>
      </c>
      <c r="C101" s="106" t="s">
        <v>128</v>
      </c>
      <c r="D101" s="105" t="s">
        <v>49</v>
      </c>
      <c r="E101" s="105">
        <v>0.04</v>
      </c>
      <c r="F101" s="105">
        <f>TRUNC(14.51,2)</f>
        <v>14.51</v>
      </c>
      <c r="G101" s="105">
        <f>TRUNC(E101*F101,2)</f>
        <v>0.57999999999999996</v>
      </c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7"/>
      <c r="BD101" s="107"/>
      <c r="BE101" s="107"/>
      <c r="BF101" s="107"/>
      <c r="BG101" s="107"/>
      <c r="BH101" s="107"/>
      <c r="BI101" s="107"/>
      <c r="BJ101" s="107"/>
      <c r="BK101" s="107"/>
      <c r="BL101" s="107"/>
      <c r="BM101" s="107"/>
      <c r="BN101" s="107"/>
      <c r="BO101" s="107"/>
      <c r="BP101" s="107"/>
      <c r="BQ101" s="107"/>
      <c r="BR101" s="107"/>
      <c r="BS101" s="107"/>
      <c r="BT101" s="107"/>
      <c r="BU101" s="107"/>
      <c r="BV101" s="107"/>
      <c r="BW101" s="107"/>
      <c r="BX101" s="107"/>
      <c r="BY101" s="107"/>
      <c r="BZ101" s="107"/>
      <c r="CA101" s="107"/>
      <c r="CB101" s="107"/>
      <c r="CC101" s="107"/>
      <c r="CD101" s="107"/>
      <c r="CE101" s="107"/>
      <c r="CF101" s="107"/>
      <c r="CG101" s="107"/>
      <c r="CH101" s="107"/>
      <c r="CI101" s="107"/>
      <c r="CJ101" s="107"/>
      <c r="CK101" s="107"/>
      <c r="CL101" s="107"/>
      <c r="CM101" s="107"/>
      <c r="CN101" s="107"/>
      <c r="CO101" s="107"/>
      <c r="CP101" s="107"/>
      <c r="CQ101" s="107"/>
      <c r="CR101" s="107"/>
      <c r="CS101" s="107"/>
      <c r="CT101" s="107"/>
      <c r="CU101" s="107"/>
    </row>
    <row r="102" spans="1:99" s="105" customFormat="1" ht="30">
      <c r="A102" s="104"/>
      <c r="B102" s="108" t="s">
        <v>129</v>
      </c>
      <c r="C102" s="106" t="s">
        <v>130</v>
      </c>
      <c r="D102" s="105" t="s">
        <v>3</v>
      </c>
      <c r="E102" s="105">
        <v>1.2E-2</v>
      </c>
      <c r="F102" s="105">
        <f>TRUNC(386.15,2)</f>
        <v>386.15</v>
      </c>
      <c r="G102" s="105">
        <f>TRUNC(E102*F102,2)</f>
        <v>4.63</v>
      </c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7"/>
      <c r="BA102" s="107"/>
      <c r="BB102" s="107"/>
      <c r="BC102" s="107"/>
      <c r="BD102" s="107"/>
      <c r="BE102" s="107"/>
      <c r="BF102" s="107"/>
      <c r="BG102" s="107"/>
      <c r="BH102" s="107"/>
      <c r="BI102" s="107"/>
      <c r="BJ102" s="107"/>
      <c r="BK102" s="107"/>
      <c r="BL102" s="107"/>
      <c r="BM102" s="107"/>
      <c r="BN102" s="107"/>
      <c r="BO102" s="107"/>
      <c r="BP102" s="107"/>
      <c r="BQ102" s="107"/>
      <c r="BR102" s="107"/>
      <c r="BS102" s="107"/>
      <c r="BT102" s="107"/>
      <c r="BU102" s="107"/>
      <c r="BV102" s="107"/>
      <c r="BW102" s="107"/>
      <c r="BX102" s="107"/>
      <c r="BY102" s="107"/>
      <c r="BZ102" s="107"/>
      <c r="CA102" s="107"/>
      <c r="CB102" s="107"/>
      <c r="CC102" s="107"/>
      <c r="CD102" s="107"/>
      <c r="CE102" s="107"/>
      <c r="CF102" s="107"/>
      <c r="CG102" s="107"/>
      <c r="CH102" s="107"/>
      <c r="CI102" s="107"/>
      <c r="CJ102" s="107"/>
      <c r="CK102" s="107"/>
      <c r="CL102" s="107"/>
      <c r="CM102" s="107"/>
      <c r="CN102" s="107"/>
      <c r="CO102" s="107"/>
      <c r="CP102" s="107"/>
      <c r="CQ102" s="107"/>
      <c r="CR102" s="107"/>
      <c r="CS102" s="107"/>
      <c r="CT102" s="107"/>
      <c r="CU102" s="107"/>
    </row>
    <row r="103" spans="1:99" s="105" customFormat="1">
      <c r="A103" s="104"/>
      <c r="B103" s="108" t="s">
        <v>221</v>
      </c>
      <c r="C103" s="106" t="s">
        <v>222</v>
      </c>
      <c r="D103" s="105" t="s">
        <v>0</v>
      </c>
      <c r="E103" s="105">
        <v>0.18024999999999999</v>
      </c>
      <c r="F103" s="105">
        <f>TRUNC(13.6,2)</f>
        <v>13.6</v>
      </c>
      <c r="G103" s="105">
        <f>TRUNC(E103*F103,2)</f>
        <v>2.4500000000000002</v>
      </c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7"/>
      <c r="AV103" s="107"/>
      <c r="AW103" s="107"/>
      <c r="AX103" s="107"/>
      <c r="AY103" s="107"/>
      <c r="AZ103" s="107"/>
      <c r="BA103" s="107"/>
      <c r="BB103" s="107"/>
      <c r="BC103" s="107"/>
      <c r="BD103" s="107"/>
      <c r="BE103" s="107"/>
      <c r="BF103" s="107"/>
      <c r="BG103" s="107"/>
      <c r="BH103" s="107"/>
      <c r="BI103" s="107"/>
      <c r="BJ103" s="107"/>
      <c r="BK103" s="107"/>
      <c r="BL103" s="107"/>
      <c r="BM103" s="107"/>
      <c r="BN103" s="107"/>
      <c r="BO103" s="107"/>
      <c r="BP103" s="107"/>
      <c r="BQ103" s="107"/>
      <c r="BR103" s="107"/>
      <c r="BS103" s="107"/>
      <c r="BT103" s="107"/>
      <c r="BU103" s="107"/>
      <c r="BV103" s="107"/>
      <c r="BW103" s="107"/>
      <c r="BX103" s="107"/>
      <c r="BY103" s="107"/>
      <c r="BZ103" s="107"/>
      <c r="CA103" s="107"/>
      <c r="CB103" s="107"/>
      <c r="CC103" s="107"/>
      <c r="CD103" s="107"/>
      <c r="CE103" s="107"/>
      <c r="CF103" s="107"/>
      <c r="CG103" s="107"/>
      <c r="CH103" s="107"/>
      <c r="CI103" s="107"/>
      <c r="CJ103" s="107"/>
      <c r="CK103" s="107"/>
      <c r="CL103" s="107"/>
      <c r="CM103" s="107"/>
      <c r="CN103" s="107"/>
      <c r="CO103" s="107"/>
      <c r="CP103" s="107"/>
      <c r="CQ103" s="107"/>
      <c r="CR103" s="107"/>
      <c r="CS103" s="107"/>
      <c r="CT103" s="107"/>
      <c r="CU103" s="107"/>
    </row>
    <row r="104" spans="1:99" s="105" customFormat="1">
      <c r="A104" s="104"/>
      <c r="B104" s="108" t="s">
        <v>223</v>
      </c>
      <c r="C104" s="106" t="s">
        <v>224</v>
      </c>
      <c r="D104" s="105" t="s">
        <v>0</v>
      </c>
      <c r="E104" s="105">
        <v>0.36049999999999999</v>
      </c>
      <c r="F104" s="105">
        <f>TRUNC(18.77,2)</f>
        <v>18.77</v>
      </c>
      <c r="G104" s="105">
        <f>TRUNC(E104*F104,2)</f>
        <v>6.76</v>
      </c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7"/>
      <c r="BE104" s="107"/>
      <c r="BF104" s="107"/>
      <c r="BG104" s="107"/>
      <c r="BH104" s="107"/>
      <c r="BI104" s="107"/>
      <c r="BJ104" s="107"/>
      <c r="BK104" s="107"/>
      <c r="BL104" s="107"/>
      <c r="BM104" s="107"/>
      <c r="BN104" s="107"/>
      <c r="BO104" s="107"/>
      <c r="BP104" s="107"/>
      <c r="BQ104" s="107"/>
      <c r="BR104" s="107"/>
      <c r="BS104" s="107"/>
      <c r="BT104" s="107"/>
      <c r="BU104" s="107"/>
      <c r="BV104" s="107"/>
      <c r="BW104" s="107"/>
      <c r="BX104" s="107"/>
      <c r="BY104" s="107"/>
      <c r="BZ104" s="107"/>
      <c r="CA104" s="107"/>
      <c r="CB104" s="107"/>
      <c r="CC104" s="107"/>
      <c r="CD104" s="107"/>
      <c r="CE104" s="107"/>
      <c r="CF104" s="107"/>
      <c r="CG104" s="107"/>
      <c r="CH104" s="107"/>
      <c r="CI104" s="107"/>
      <c r="CJ104" s="107"/>
      <c r="CK104" s="107"/>
      <c r="CL104" s="107"/>
      <c r="CM104" s="107"/>
      <c r="CN104" s="107"/>
      <c r="CO104" s="107"/>
      <c r="CP104" s="107"/>
      <c r="CQ104" s="107"/>
      <c r="CR104" s="107"/>
      <c r="CS104" s="107"/>
      <c r="CT104" s="107"/>
      <c r="CU104" s="107"/>
    </row>
    <row r="105" spans="1:99" s="105" customFormat="1">
      <c r="A105" s="104"/>
      <c r="B105" s="108"/>
      <c r="C105" s="106"/>
      <c r="E105" s="105" t="s">
        <v>1</v>
      </c>
      <c r="G105" s="105">
        <f>TRUNC(SUM(G100:G104),2)</f>
        <v>14.82</v>
      </c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  <c r="BH105" s="107"/>
      <c r="BI105" s="107"/>
      <c r="BJ105" s="107"/>
      <c r="BK105" s="107"/>
      <c r="BL105" s="107"/>
      <c r="BM105" s="107"/>
      <c r="BN105" s="107"/>
      <c r="BO105" s="107"/>
      <c r="BP105" s="107"/>
      <c r="BQ105" s="107"/>
      <c r="BR105" s="107"/>
      <c r="BS105" s="107"/>
      <c r="BT105" s="107"/>
      <c r="BU105" s="107"/>
      <c r="BV105" s="107"/>
      <c r="BW105" s="107"/>
      <c r="BX105" s="107"/>
      <c r="BY105" s="107"/>
      <c r="BZ105" s="107"/>
      <c r="CA105" s="107"/>
      <c r="CB105" s="107"/>
      <c r="CC105" s="107"/>
      <c r="CD105" s="107"/>
      <c r="CE105" s="107"/>
      <c r="CF105" s="107"/>
      <c r="CG105" s="107"/>
      <c r="CH105" s="107"/>
      <c r="CI105" s="107"/>
      <c r="CJ105" s="107"/>
      <c r="CK105" s="107"/>
      <c r="CL105" s="107"/>
      <c r="CM105" s="107"/>
      <c r="CN105" s="107"/>
      <c r="CO105" s="107"/>
      <c r="CP105" s="107"/>
      <c r="CQ105" s="107"/>
      <c r="CR105" s="107"/>
      <c r="CS105" s="107"/>
      <c r="CT105" s="107"/>
      <c r="CU105" s="107"/>
    </row>
    <row r="106" spans="1:99" s="76" customFormat="1">
      <c r="A106" s="92" t="s">
        <v>24</v>
      </c>
      <c r="C106" s="93"/>
      <c r="D106" s="76" t="s">
        <v>63</v>
      </c>
      <c r="H106" s="76">
        <f>SUM(H99)</f>
        <v>503.88</v>
      </c>
      <c r="I106" s="76">
        <f>SUM(I99)</f>
        <v>649.05999999999995</v>
      </c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  <c r="CH106" s="75"/>
      <c r="CI106" s="75"/>
      <c r="CJ106" s="75"/>
      <c r="CK106" s="75"/>
      <c r="CL106" s="75"/>
      <c r="CM106" s="75"/>
      <c r="CN106" s="75"/>
      <c r="CO106" s="75"/>
      <c r="CP106" s="75"/>
      <c r="CQ106" s="75"/>
      <c r="CR106" s="75"/>
      <c r="CS106" s="75"/>
      <c r="CT106" s="75"/>
      <c r="CU106" s="75"/>
    </row>
    <row r="107" spans="1:99" s="91" customFormat="1" ht="15.75">
      <c r="A107" s="84" t="s">
        <v>133</v>
      </c>
      <c r="B107" s="85"/>
      <c r="C107" s="86" t="s">
        <v>309</v>
      </c>
      <c r="D107" s="85"/>
      <c r="E107" s="85"/>
      <c r="F107" s="85"/>
      <c r="G107" s="87"/>
      <c r="H107" s="88"/>
      <c r="I107" s="89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0"/>
      <c r="CB107" s="90"/>
      <c r="CC107" s="90"/>
      <c r="CD107" s="90"/>
      <c r="CE107" s="90"/>
      <c r="CF107" s="90"/>
      <c r="CG107" s="90"/>
      <c r="CH107" s="90"/>
      <c r="CI107" s="90"/>
      <c r="CJ107" s="90"/>
      <c r="CK107" s="90"/>
      <c r="CL107" s="90"/>
      <c r="CM107" s="90"/>
      <c r="CN107" s="90"/>
      <c r="CO107" s="90"/>
      <c r="CP107" s="90"/>
      <c r="CQ107" s="90"/>
      <c r="CR107" s="90"/>
      <c r="CS107" s="90"/>
      <c r="CT107" s="90"/>
      <c r="CU107" s="90"/>
    </row>
    <row r="108" spans="1:99" s="110" customFormat="1" ht="45">
      <c r="A108" s="109" t="s">
        <v>134</v>
      </c>
      <c r="B108" s="118" t="s">
        <v>234</v>
      </c>
      <c r="C108" s="111" t="s">
        <v>72</v>
      </c>
      <c r="D108" s="110" t="s">
        <v>27</v>
      </c>
      <c r="E108" s="110">
        <v>72</v>
      </c>
      <c r="F108" s="110">
        <f>TRUNC(G110,2)</f>
        <v>9.8000000000000007</v>
      </c>
      <c r="G108" s="110">
        <f>TRUNC(F108*1.2882,2)</f>
        <v>12.62</v>
      </c>
      <c r="H108" s="110">
        <f>TRUNC((E108*F108),2)</f>
        <v>705.6</v>
      </c>
      <c r="I108" s="110">
        <f>TRUNC((E108*G108),2)</f>
        <v>908.64</v>
      </c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  <c r="AP108" s="112"/>
      <c r="AQ108" s="112"/>
      <c r="AR108" s="112"/>
      <c r="AS108" s="112"/>
      <c r="AT108" s="112"/>
      <c r="AU108" s="112"/>
      <c r="AV108" s="112"/>
      <c r="AW108" s="112"/>
      <c r="AX108" s="112"/>
      <c r="AY108" s="112"/>
      <c r="AZ108" s="112"/>
      <c r="BA108" s="112"/>
      <c r="BB108" s="112"/>
      <c r="BC108" s="112"/>
      <c r="BD108" s="112"/>
      <c r="BE108" s="112"/>
      <c r="BF108" s="112"/>
      <c r="BG108" s="112"/>
      <c r="BH108" s="112"/>
      <c r="BI108" s="112"/>
      <c r="BJ108" s="112"/>
      <c r="BK108" s="112"/>
      <c r="BL108" s="112"/>
      <c r="BM108" s="112"/>
      <c r="BN108" s="112"/>
      <c r="BO108" s="112"/>
      <c r="BP108" s="112"/>
      <c r="BQ108" s="112"/>
      <c r="BR108" s="112"/>
      <c r="BS108" s="112"/>
      <c r="BT108" s="112"/>
      <c r="BU108" s="112"/>
      <c r="BV108" s="112"/>
      <c r="BW108" s="112"/>
      <c r="BX108" s="112"/>
      <c r="BY108" s="112"/>
      <c r="BZ108" s="112"/>
      <c r="CA108" s="112"/>
      <c r="CB108" s="112"/>
      <c r="CC108" s="112"/>
      <c r="CD108" s="112"/>
      <c r="CE108" s="112"/>
      <c r="CF108" s="112"/>
      <c r="CG108" s="112"/>
      <c r="CH108" s="112"/>
      <c r="CI108" s="112"/>
      <c r="CJ108" s="112"/>
      <c r="CK108" s="112"/>
      <c r="CL108" s="112"/>
      <c r="CM108" s="112"/>
      <c r="CN108" s="112"/>
      <c r="CO108" s="112"/>
      <c r="CP108" s="112"/>
      <c r="CQ108" s="112"/>
      <c r="CR108" s="112"/>
      <c r="CS108" s="112"/>
      <c r="CT108" s="112"/>
      <c r="CU108" s="112"/>
    </row>
    <row r="109" spans="1:99" s="105" customFormat="1">
      <c r="A109" s="104"/>
      <c r="B109" s="108" t="s">
        <v>221</v>
      </c>
      <c r="C109" s="106" t="s">
        <v>222</v>
      </c>
      <c r="D109" s="105" t="s">
        <v>0</v>
      </c>
      <c r="E109" s="105">
        <v>0.72099999999999997</v>
      </c>
      <c r="F109" s="105">
        <f>TRUNC(13.6,2)</f>
        <v>13.6</v>
      </c>
      <c r="G109" s="105">
        <f>TRUNC(E109*F109,2)</f>
        <v>9.8000000000000007</v>
      </c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7"/>
      <c r="BD109" s="107"/>
      <c r="BE109" s="107"/>
      <c r="BF109" s="107"/>
      <c r="BG109" s="107"/>
      <c r="BH109" s="107"/>
      <c r="BI109" s="107"/>
      <c r="BJ109" s="107"/>
      <c r="BK109" s="107"/>
      <c r="BL109" s="107"/>
      <c r="BM109" s="107"/>
      <c r="BN109" s="107"/>
      <c r="BO109" s="107"/>
      <c r="BP109" s="107"/>
      <c r="BQ109" s="107"/>
      <c r="BR109" s="107"/>
      <c r="BS109" s="107"/>
      <c r="BT109" s="107"/>
      <c r="BU109" s="107"/>
      <c r="BV109" s="107"/>
      <c r="BW109" s="107"/>
      <c r="BX109" s="107"/>
      <c r="BY109" s="107"/>
      <c r="BZ109" s="107"/>
      <c r="CA109" s="107"/>
      <c r="CB109" s="107"/>
      <c r="CC109" s="107"/>
      <c r="CD109" s="107"/>
      <c r="CE109" s="107"/>
      <c r="CF109" s="107"/>
      <c r="CG109" s="107"/>
      <c r="CH109" s="107"/>
      <c r="CI109" s="107"/>
      <c r="CJ109" s="107"/>
      <c r="CK109" s="107"/>
      <c r="CL109" s="107"/>
      <c r="CM109" s="107"/>
      <c r="CN109" s="107"/>
      <c r="CO109" s="107"/>
      <c r="CP109" s="107"/>
      <c r="CQ109" s="107"/>
      <c r="CR109" s="107"/>
      <c r="CS109" s="107"/>
      <c r="CT109" s="107"/>
      <c r="CU109" s="107"/>
    </row>
    <row r="110" spans="1:99" s="105" customFormat="1">
      <c r="A110" s="104"/>
      <c r="B110" s="108"/>
      <c r="C110" s="106"/>
      <c r="E110" s="105" t="s">
        <v>1</v>
      </c>
      <c r="G110" s="105">
        <f>TRUNC(SUM(G109:G109),2)</f>
        <v>9.8000000000000007</v>
      </c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7"/>
      <c r="BA110" s="107"/>
      <c r="BB110" s="107"/>
      <c r="BC110" s="107"/>
      <c r="BD110" s="107"/>
      <c r="BE110" s="107"/>
      <c r="BF110" s="107"/>
      <c r="BG110" s="107"/>
      <c r="BH110" s="107"/>
      <c r="BI110" s="107"/>
      <c r="BJ110" s="107"/>
      <c r="BK110" s="107"/>
      <c r="BL110" s="107"/>
      <c r="BM110" s="107"/>
      <c r="BN110" s="107"/>
      <c r="BO110" s="107"/>
      <c r="BP110" s="107"/>
      <c r="BQ110" s="107"/>
      <c r="BR110" s="107"/>
      <c r="BS110" s="107"/>
      <c r="BT110" s="107"/>
      <c r="BU110" s="107"/>
      <c r="BV110" s="107"/>
      <c r="BW110" s="107"/>
      <c r="BX110" s="107"/>
      <c r="BY110" s="107"/>
      <c r="BZ110" s="107"/>
      <c r="CA110" s="107"/>
      <c r="CB110" s="107"/>
      <c r="CC110" s="107"/>
      <c r="CD110" s="107"/>
      <c r="CE110" s="107"/>
      <c r="CF110" s="107"/>
      <c r="CG110" s="107"/>
      <c r="CH110" s="107"/>
      <c r="CI110" s="107"/>
      <c r="CJ110" s="107"/>
      <c r="CK110" s="107"/>
      <c r="CL110" s="107"/>
      <c r="CM110" s="107"/>
      <c r="CN110" s="107"/>
      <c r="CO110" s="107"/>
      <c r="CP110" s="107"/>
      <c r="CQ110" s="107"/>
      <c r="CR110" s="107"/>
      <c r="CS110" s="107"/>
      <c r="CT110" s="107"/>
      <c r="CU110" s="107"/>
    </row>
    <row r="111" spans="1:99" s="110" customFormat="1" ht="30">
      <c r="A111" s="109" t="s">
        <v>135</v>
      </c>
      <c r="B111" s="118" t="s">
        <v>259</v>
      </c>
      <c r="C111" s="111" t="s">
        <v>140</v>
      </c>
      <c r="D111" s="110" t="s">
        <v>46</v>
      </c>
      <c r="E111" s="110">
        <v>21</v>
      </c>
      <c r="F111" s="110">
        <f>TRUNC(G113,2)</f>
        <v>15.4</v>
      </c>
      <c r="G111" s="110">
        <f>TRUNC(F111*1.2882,2)</f>
        <v>19.829999999999998</v>
      </c>
      <c r="H111" s="110">
        <f>TRUNC((E111*F111),2)</f>
        <v>323.39999999999998</v>
      </c>
      <c r="I111" s="110">
        <f>TRUNC((E111*G111),2)</f>
        <v>416.43</v>
      </c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  <c r="BY111" s="112"/>
      <c r="BZ111" s="112"/>
      <c r="CA111" s="112"/>
      <c r="CB111" s="112"/>
      <c r="CC111" s="112"/>
      <c r="CD111" s="112"/>
      <c r="CE111" s="112"/>
      <c r="CF111" s="112"/>
      <c r="CG111" s="112"/>
      <c r="CH111" s="112"/>
      <c r="CI111" s="112"/>
      <c r="CJ111" s="112"/>
      <c r="CK111" s="112"/>
      <c r="CL111" s="112"/>
      <c r="CM111" s="112"/>
      <c r="CN111" s="112"/>
      <c r="CO111" s="112"/>
      <c r="CP111" s="112"/>
      <c r="CQ111" s="112"/>
      <c r="CR111" s="112"/>
      <c r="CS111" s="112"/>
      <c r="CT111" s="112"/>
      <c r="CU111" s="112"/>
    </row>
    <row r="112" spans="1:99" s="105" customFormat="1">
      <c r="A112" s="104"/>
      <c r="B112" s="108" t="s">
        <v>221</v>
      </c>
      <c r="C112" s="106" t="s">
        <v>222</v>
      </c>
      <c r="D112" s="105" t="s">
        <v>0</v>
      </c>
      <c r="E112" s="105">
        <v>1.1330000000000002</v>
      </c>
      <c r="F112" s="105">
        <f>TRUNC(13.6,2)</f>
        <v>13.6</v>
      </c>
      <c r="G112" s="105">
        <f>TRUNC(E112*F112,2)</f>
        <v>15.4</v>
      </c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7"/>
      <c r="BC112" s="107"/>
      <c r="BD112" s="107"/>
      <c r="BE112" s="107"/>
      <c r="BF112" s="107"/>
      <c r="BG112" s="107"/>
      <c r="BH112" s="107"/>
      <c r="BI112" s="107"/>
      <c r="BJ112" s="107"/>
      <c r="BK112" s="107"/>
      <c r="BL112" s="107"/>
      <c r="BM112" s="107"/>
      <c r="BN112" s="107"/>
      <c r="BO112" s="107"/>
      <c r="BP112" s="107"/>
      <c r="BQ112" s="107"/>
      <c r="BR112" s="107"/>
      <c r="BS112" s="107"/>
      <c r="BT112" s="107"/>
      <c r="BU112" s="107"/>
      <c r="BV112" s="107"/>
      <c r="BW112" s="107"/>
      <c r="BX112" s="107"/>
      <c r="BY112" s="107"/>
      <c r="BZ112" s="107"/>
      <c r="CA112" s="107"/>
      <c r="CB112" s="107"/>
      <c r="CC112" s="107"/>
      <c r="CD112" s="107"/>
      <c r="CE112" s="107"/>
      <c r="CF112" s="107"/>
      <c r="CG112" s="107"/>
      <c r="CH112" s="107"/>
      <c r="CI112" s="107"/>
      <c r="CJ112" s="107"/>
      <c r="CK112" s="107"/>
      <c r="CL112" s="107"/>
      <c r="CM112" s="107"/>
      <c r="CN112" s="107"/>
      <c r="CO112" s="107"/>
      <c r="CP112" s="107"/>
      <c r="CQ112" s="107"/>
      <c r="CR112" s="107"/>
      <c r="CS112" s="107"/>
      <c r="CT112" s="107"/>
      <c r="CU112" s="107"/>
    </row>
    <row r="113" spans="1:99" s="105" customFormat="1">
      <c r="A113" s="104"/>
      <c r="B113" s="108"/>
      <c r="C113" s="106"/>
      <c r="E113" s="105" t="s">
        <v>1</v>
      </c>
      <c r="G113" s="105">
        <f>TRUNC(SUM(G112:G112),2)</f>
        <v>15.4</v>
      </c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7"/>
      <c r="BA113" s="107"/>
      <c r="BB113" s="107"/>
      <c r="BC113" s="107"/>
      <c r="BD113" s="107"/>
      <c r="BE113" s="107"/>
      <c r="BF113" s="107"/>
      <c r="BG113" s="107"/>
      <c r="BH113" s="107"/>
      <c r="BI113" s="107"/>
      <c r="BJ113" s="107"/>
      <c r="BK113" s="107"/>
      <c r="BL113" s="107"/>
      <c r="BM113" s="107"/>
      <c r="BN113" s="107"/>
      <c r="BO113" s="107"/>
      <c r="BP113" s="107"/>
      <c r="BQ113" s="107"/>
      <c r="BR113" s="107"/>
      <c r="BS113" s="107"/>
      <c r="BT113" s="107"/>
      <c r="BU113" s="107"/>
      <c r="BV113" s="107"/>
      <c r="BW113" s="107"/>
      <c r="BX113" s="107"/>
      <c r="BY113" s="107"/>
      <c r="BZ113" s="107"/>
      <c r="CA113" s="107"/>
      <c r="CB113" s="107"/>
      <c r="CC113" s="107"/>
      <c r="CD113" s="107"/>
      <c r="CE113" s="107"/>
      <c r="CF113" s="107"/>
      <c r="CG113" s="107"/>
      <c r="CH113" s="107"/>
      <c r="CI113" s="107"/>
      <c r="CJ113" s="107"/>
      <c r="CK113" s="107"/>
      <c r="CL113" s="107"/>
      <c r="CM113" s="107"/>
      <c r="CN113" s="107"/>
      <c r="CO113" s="107"/>
      <c r="CP113" s="107"/>
      <c r="CQ113" s="107"/>
      <c r="CR113" s="107"/>
      <c r="CS113" s="107"/>
      <c r="CT113" s="107"/>
      <c r="CU113" s="107"/>
    </row>
    <row r="114" spans="1:99" s="110" customFormat="1" ht="45">
      <c r="A114" s="109" t="s">
        <v>136</v>
      </c>
      <c r="B114" s="118" t="s">
        <v>260</v>
      </c>
      <c r="C114" s="111" t="s">
        <v>142</v>
      </c>
      <c r="D114" s="110" t="s">
        <v>46</v>
      </c>
      <c r="E114" s="110">
        <v>21</v>
      </c>
      <c r="F114" s="110">
        <f>TRUNC(G122,2)</f>
        <v>55.48</v>
      </c>
      <c r="G114" s="110">
        <f>TRUNC(F114*1.2882,2)</f>
        <v>71.459999999999994</v>
      </c>
      <c r="H114" s="110">
        <f>TRUNC((E114*F114),2)</f>
        <v>1165.08</v>
      </c>
      <c r="I114" s="110">
        <f>TRUNC((E114*G114),2)</f>
        <v>1500.66</v>
      </c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2"/>
      <c r="BH114" s="112"/>
      <c r="BI114" s="112"/>
      <c r="BJ114" s="112"/>
      <c r="BK114" s="112"/>
      <c r="BL114" s="112"/>
      <c r="BM114" s="112"/>
      <c r="BN114" s="112"/>
      <c r="BO114" s="112"/>
      <c r="BP114" s="112"/>
      <c r="BQ114" s="112"/>
      <c r="BR114" s="112"/>
      <c r="BS114" s="112"/>
      <c r="BT114" s="112"/>
      <c r="BU114" s="112"/>
      <c r="BV114" s="112"/>
      <c r="BW114" s="112"/>
      <c r="BX114" s="112"/>
      <c r="BY114" s="112"/>
      <c r="BZ114" s="112"/>
      <c r="CA114" s="112"/>
      <c r="CB114" s="112"/>
      <c r="CC114" s="112"/>
      <c r="CD114" s="112"/>
      <c r="CE114" s="112"/>
      <c r="CF114" s="112"/>
      <c r="CG114" s="112"/>
      <c r="CH114" s="112"/>
      <c r="CI114" s="112"/>
      <c r="CJ114" s="112"/>
      <c r="CK114" s="112"/>
      <c r="CL114" s="112"/>
      <c r="CM114" s="112"/>
      <c r="CN114" s="112"/>
      <c r="CO114" s="112"/>
      <c r="CP114" s="112"/>
      <c r="CQ114" s="112"/>
      <c r="CR114" s="112"/>
      <c r="CS114" s="112"/>
      <c r="CT114" s="112"/>
      <c r="CU114" s="112"/>
    </row>
    <row r="115" spans="1:99" s="105" customFormat="1">
      <c r="A115" s="104"/>
      <c r="B115" s="108" t="s">
        <v>221</v>
      </c>
      <c r="C115" s="106" t="s">
        <v>222</v>
      </c>
      <c r="D115" s="105" t="s">
        <v>0</v>
      </c>
      <c r="E115" s="105">
        <v>1.3729899999999999</v>
      </c>
      <c r="F115" s="105">
        <f>TRUNC(13.6,2)</f>
        <v>13.6</v>
      </c>
      <c r="G115" s="105">
        <f t="shared" ref="G115:G121" si="2">TRUNC(E115*F115,2)</f>
        <v>18.670000000000002</v>
      </c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07"/>
      <c r="BC115" s="107"/>
      <c r="BD115" s="107"/>
      <c r="BE115" s="107"/>
      <c r="BF115" s="107"/>
      <c r="BG115" s="107"/>
      <c r="BH115" s="107"/>
      <c r="BI115" s="107"/>
      <c r="BJ115" s="107"/>
      <c r="BK115" s="107"/>
      <c r="BL115" s="107"/>
      <c r="BM115" s="107"/>
      <c r="BN115" s="107"/>
      <c r="BO115" s="107"/>
      <c r="BP115" s="107"/>
      <c r="BQ115" s="107"/>
      <c r="BR115" s="107"/>
      <c r="BS115" s="107"/>
      <c r="BT115" s="107"/>
      <c r="BU115" s="107"/>
      <c r="BV115" s="107"/>
      <c r="BW115" s="107"/>
      <c r="BX115" s="107"/>
      <c r="BY115" s="107"/>
      <c r="BZ115" s="107"/>
      <c r="CA115" s="107"/>
      <c r="CB115" s="107"/>
      <c r="CC115" s="107"/>
      <c r="CD115" s="107"/>
      <c r="CE115" s="107"/>
      <c r="CF115" s="107"/>
      <c r="CG115" s="107"/>
      <c r="CH115" s="107"/>
      <c r="CI115" s="107"/>
      <c r="CJ115" s="107"/>
      <c r="CK115" s="107"/>
      <c r="CL115" s="107"/>
      <c r="CM115" s="107"/>
      <c r="CN115" s="107"/>
      <c r="CO115" s="107"/>
      <c r="CP115" s="107"/>
      <c r="CQ115" s="107"/>
      <c r="CR115" s="107"/>
      <c r="CS115" s="107"/>
      <c r="CT115" s="107"/>
      <c r="CU115" s="107"/>
    </row>
    <row r="116" spans="1:99" s="105" customFormat="1">
      <c r="A116" s="104"/>
      <c r="B116" s="108" t="s">
        <v>261</v>
      </c>
      <c r="C116" s="106" t="s">
        <v>262</v>
      </c>
      <c r="D116" s="105" t="s">
        <v>0</v>
      </c>
      <c r="E116" s="105">
        <v>0.17201000000000002</v>
      </c>
      <c r="F116" s="105">
        <f>TRUNC(18.77,2)</f>
        <v>18.77</v>
      </c>
      <c r="G116" s="105">
        <f t="shared" si="2"/>
        <v>3.22</v>
      </c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7"/>
      <c r="BG116" s="107"/>
      <c r="BH116" s="107"/>
      <c r="BI116" s="107"/>
      <c r="BJ116" s="107"/>
      <c r="BK116" s="107"/>
      <c r="BL116" s="107"/>
      <c r="BM116" s="107"/>
      <c r="BN116" s="107"/>
      <c r="BO116" s="107"/>
      <c r="BP116" s="107"/>
      <c r="BQ116" s="107"/>
      <c r="BR116" s="107"/>
      <c r="BS116" s="107"/>
      <c r="BT116" s="107"/>
      <c r="BU116" s="107"/>
      <c r="BV116" s="107"/>
      <c r="BW116" s="107"/>
      <c r="BX116" s="107"/>
      <c r="BY116" s="107"/>
      <c r="BZ116" s="107"/>
      <c r="CA116" s="107"/>
      <c r="CB116" s="107"/>
      <c r="CC116" s="107"/>
      <c r="CD116" s="107"/>
      <c r="CE116" s="107"/>
      <c r="CF116" s="107"/>
      <c r="CG116" s="107"/>
      <c r="CH116" s="107"/>
      <c r="CI116" s="107"/>
      <c r="CJ116" s="107"/>
      <c r="CK116" s="107"/>
      <c r="CL116" s="107"/>
      <c r="CM116" s="107"/>
      <c r="CN116" s="107"/>
      <c r="CO116" s="107"/>
      <c r="CP116" s="107"/>
      <c r="CQ116" s="107"/>
      <c r="CR116" s="107"/>
      <c r="CS116" s="107"/>
      <c r="CT116" s="107"/>
      <c r="CU116" s="107"/>
    </row>
    <row r="117" spans="1:99" s="105" customFormat="1">
      <c r="A117" s="104"/>
      <c r="B117" s="108" t="s">
        <v>263</v>
      </c>
      <c r="C117" s="106" t="s">
        <v>264</v>
      </c>
      <c r="D117" s="105" t="s">
        <v>27</v>
      </c>
      <c r="E117" s="105">
        <v>0.62</v>
      </c>
      <c r="F117" s="105">
        <f>TRUNC(26.7673,2)</f>
        <v>26.76</v>
      </c>
      <c r="G117" s="105">
        <f t="shared" si="2"/>
        <v>16.59</v>
      </c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107"/>
      <c r="BD117" s="107"/>
      <c r="BE117" s="107"/>
      <c r="BF117" s="107"/>
      <c r="BG117" s="107"/>
      <c r="BH117" s="107"/>
      <c r="BI117" s="107"/>
      <c r="BJ117" s="107"/>
      <c r="BK117" s="107"/>
      <c r="BL117" s="107"/>
      <c r="BM117" s="107"/>
      <c r="BN117" s="107"/>
      <c r="BO117" s="107"/>
      <c r="BP117" s="107"/>
      <c r="BQ117" s="107"/>
      <c r="BR117" s="107"/>
      <c r="BS117" s="107"/>
      <c r="BT117" s="107"/>
      <c r="BU117" s="107"/>
      <c r="BV117" s="107"/>
      <c r="BW117" s="107"/>
      <c r="BX117" s="107"/>
      <c r="BY117" s="107"/>
      <c r="BZ117" s="107"/>
      <c r="CA117" s="107"/>
      <c r="CB117" s="107"/>
      <c r="CC117" s="107"/>
      <c r="CD117" s="107"/>
      <c r="CE117" s="107"/>
      <c r="CF117" s="107"/>
      <c r="CG117" s="107"/>
      <c r="CH117" s="107"/>
      <c r="CI117" s="107"/>
      <c r="CJ117" s="107"/>
      <c r="CK117" s="107"/>
      <c r="CL117" s="107"/>
      <c r="CM117" s="107"/>
      <c r="CN117" s="107"/>
      <c r="CO117" s="107"/>
      <c r="CP117" s="107"/>
      <c r="CQ117" s="107"/>
      <c r="CR117" s="107"/>
      <c r="CS117" s="107"/>
      <c r="CT117" s="107"/>
      <c r="CU117" s="107"/>
    </row>
    <row r="118" spans="1:99" s="105" customFormat="1">
      <c r="A118" s="104"/>
      <c r="B118" s="108" t="s">
        <v>265</v>
      </c>
      <c r="C118" s="106" t="s">
        <v>266</v>
      </c>
      <c r="D118" s="105" t="s">
        <v>66</v>
      </c>
      <c r="E118" s="105">
        <v>4.2000000000000003E-2</v>
      </c>
      <c r="F118" s="105">
        <f>TRUNC(61.3535,2)</f>
        <v>61.35</v>
      </c>
      <c r="G118" s="105">
        <f t="shared" si="2"/>
        <v>2.57</v>
      </c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7"/>
      <c r="BC118" s="107"/>
      <c r="BD118" s="107"/>
      <c r="BE118" s="107"/>
      <c r="BF118" s="107"/>
      <c r="BG118" s="107"/>
      <c r="BH118" s="107"/>
      <c r="BI118" s="107"/>
      <c r="BJ118" s="107"/>
      <c r="BK118" s="107"/>
      <c r="BL118" s="107"/>
      <c r="BM118" s="107"/>
      <c r="BN118" s="107"/>
      <c r="BO118" s="107"/>
      <c r="BP118" s="107"/>
      <c r="BQ118" s="107"/>
      <c r="BR118" s="107"/>
      <c r="BS118" s="107"/>
      <c r="BT118" s="107"/>
      <c r="BU118" s="107"/>
      <c r="BV118" s="107"/>
      <c r="BW118" s="107"/>
      <c r="BX118" s="107"/>
      <c r="BY118" s="107"/>
      <c r="BZ118" s="107"/>
      <c r="CA118" s="107"/>
      <c r="CB118" s="107"/>
      <c r="CC118" s="107"/>
      <c r="CD118" s="107"/>
      <c r="CE118" s="107"/>
      <c r="CF118" s="107"/>
      <c r="CG118" s="107"/>
      <c r="CH118" s="107"/>
      <c r="CI118" s="107"/>
      <c r="CJ118" s="107"/>
      <c r="CK118" s="107"/>
      <c r="CL118" s="107"/>
      <c r="CM118" s="107"/>
      <c r="CN118" s="107"/>
      <c r="CO118" s="107"/>
      <c r="CP118" s="107"/>
      <c r="CQ118" s="107"/>
      <c r="CR118" s="107"/>
      <c r="CS118" s="107"/>
      <c r="CT118" s="107"/>
      <c r="CU118" s="107"/>
    </row>
    <row r="119" spans="1:99" s="105" customFormat="1">
      <c r="A119" s="104"/>
      <c r="B119" s="108" t="s">
        <v>267</v>
      </c>
      <c r="C119" s="106" t="s">
        <v>268</v>
      </c>
      <c r="D119" s="105" t="s">
        <v>66</v>
      </c>
      <c r="E119" s="105">
        <v>4.2000000000000003E-2</v>
      </c>
      <c r="F119" s="105">
        <f>TRUNC(52.6388,2)</f>
        <v>52.63</v>
      </c>
      <c r="G119" s="105">
        <f t="shared" si="2"/>
        <v>2.21</v>
      </c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7"/>
      <c r="AV119" s="107"/>
      <c r="AW119" s="107"/>
      <c r="AX119" s="107"/>
      <c r="AY119" s="107"/>
      <c r="AZ119" s="107"/>
      <c r="BA119" s="107"/>
      <c r="BB119" s="107"/>
      <c r="BC119" s="107"/>
      <c r="BD119" s="107"/>
      <c r="BE119" s="107"/>
      <c r="BF119" s="107"/>
      <c r="BG119" s="107"/>
      <c r="BH119" s="107"/>
      <c r="BI119" s="107"/>
      <c r="BJ119" s="107"/>
      <c r="BK119" s="107"/>
      <c r="BL119" s="107"/>
      <c r="BM119" s="107"/>
      <c r="BN119" s="107"/>
      <c r="BO119" s="107"/>
      <c r="BP119" s="107"/>
      <c r="BQ119" s="107"/>
      <c r="BR119" s="107"/>
      <c r="BS119" s="107"/>
      <c r="BT119" s="107"/>
      <c r="BU119" s="107"/>
      <c r="BV119" s="107"/>
      <c r="BW119" s="107"/>
      <c r="BX119" s="107"/>
      <c r="BY119" s="107"/>
      <c r="BZ119" s="107"/>
      <c r="CA119" s="107"/>
      <c r="CB119" s="107"/>
      <c r="CC119" s="107"/>
      <c r="CD119" s="107"/>
      <c r="CE119" s="107"/>
      <c r="CF119" s="107"/>
      <c r="CG119" s="107"/>
      <c r="CH119" s="107"/>
      <c r="CI119" s="107"/>
      <c r="CJ119" s="107"/>
      <c r="CK119" s="107"/>
      <c r="CL119" s="107"/>
      <c r="CM119" s="107"/>
      <c r="CN119" s="107"/>
      <c r="CO119" s="107"/>
      <c r="CP119" s="107"/>
      <c r="CQ119" s="107"/>
      <c r="CR119" s="107"/>
      <c r="CS119" s="107"/>
      <c r="CT119" s="107"/>
      <c r="CU119" s="107"/>
    </row>
    <row r="120" spans="1:99" s="105" customFormat="1">
      <c r="A120" s="104"/>
      <c r="B120" s="108" t="s">
        <v>269</v>
      </c>
      <c r="C120" s="106" t="s">
        <v>270</v>
      </c>
      <c r="D120" s="105" t="s">
        <v>66</v>
      </c>
      <c r="E120" s="105">
        <v>4.2000000000000003E-2</v>
      </c>
      <c r="F120" s="105">
        <f>TRUNC(270.9799,2)</f>
        <v>270.97000000000003</v>
      </c>
      <c r="G120" s="105">
        <f t="shared" si="2"/>
        <v>11.38</v>
      </c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7"/>
      <c r="AV120" s="107"/>
      <c r="AW120" s="107"/>
      <c r="AX120" s="107"/>
      <c r="AY120" s="107"/>
      <c r="AZ120" s="107"/>
      <c r="BA120" s="107"/>
      <c r="BB120" s="107"/>
      <c r="BC120" s="107"/>
      <c r="BD120" s="107"/>
      <c r="BE120" s="107"/>
      <c r="BF120" s="107"/>
      <c r="BG120" s="107"/>
      <c r="BH120" s="107"/>
      <c r="BI120" s="107"/>
      <c r="BJ120" s="107"/>
      <c r="BK120" s="107"/>
      <c r="BL120" s="107"/>
      <c r="BM120" s="107"/>
      <c r="BN120" s="107"/>
      <c r="BO120" s="107"/>
      <c r="BP120" s="107"/>
      <c r="BQ120" s="107"/>
      <c r="BR120" s="107"/>
      <c r="BS120" s="107"/>
      <c r="BT120" s="107"/>
      <c r="BU120" s="107"/>
      <c r="BV120" s="107"/>
      <c r="BW120" s="107"/>
      <c r="BX120" s="107"/>
      <c r="BY120" s="107"/>
      <c r="BZ120" s="107"/>
      <c r="CA120" s="107"/>
      <c r="CB120" s="107"/>
      <c r="CC120" s="107"/>
      <c r="CD120" s="107"/>
      <c r="CE120" s="107"/>
      <c r="CF120" s="107"/>
      <c r="CG120" s="107"/>
      <c r="CH120" s="107"/>
      <c r="CI120" s="107"/>
      <c r="CJ120" s="107"/>
      <c r="CK120" s="107"/>
      <c r="CL120" s="107"/>
      <c r="CM120" s="107"/>
      <c r="CN120" s="107"/>
      <c r="CO120" s="107"/>
      <c r="CP120" s="107"/>
      <c r="CQ120" s="107"/>
      <c r="CR120" s="107"/>
      <c r="CS120" s="107"/>
      <c r="CT120" s="107"/>
      <c r="CU120" s="107"/>
    </row>
    <row r="121" spans="1:99" s="105" customFormat="1">
      <c r="A121" s="104"/>
      <c r="B121" s="108" t="s">
        <v>271</v>
      </c>
      <c r="C121" s="106" t="s">
        <v>272</v>
      </c>
      <c r="D121" s="105" t="s">
        <v>66</v>
      </c>
      <c r="E121" s="105">
        <v>2.5000000000000001E-3</v>
      </c>
      <c r="F121" s="105">
        <f>TRUNC(338.7233,2)</f>
        <v>338.72</v>
      </c>
      <c r="G121" s="105">
        <f t="shared" si="2"/>
        <v>0.84</v>
      </c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7"/>
      <c r="AV121" s="107"/>
      <c r="AW121" s="107"/>
      <c r="AX121" s="107"/>
      <c r="AY121" s="107"/>
      <c r="AZ121" s="107"/>
      <c r="BA121" s="107"/>
      <c r="BB121" s="107"/>
      <c r="BC121" s="107"/>
      <c r="BD121" s="107"/>
      <c r="BE121" s="107"/>
      <c r="BF121" s="107"/>
      <c r="BG121" s="107"/>
      <c r="BH121" s="107"/>
      <c r="BI121" s="107"/>
      <c r="BJ121" s="107"/>
      <c r="BK121" s="107"/>
      <c r="BL121" s="107"/>
      <c r="BM121" s="107"/>
      <c r="BN121" s="107"/>
      <c r="BO121" s="107"/>
      <c r="BP121" s="107"/>
      <c r="BQ121" s="107"/>
      <c r="BR121" s="107"/>
      <c r="BS121" s="107"/>
      <c r="BT121" s="107"/>
      <c r="BU121" s="107"/>
      <c r="BV121" s="107"/>
      <c r="BW121" s="107"/>
      <c r="BX121" s="107"/>
      <c r="BY121" s="107"/>
      <c r="BZ121" s="107"/>
      <c r="CA121" s="107"/>
      <c r="CB121" s="107"/>
      <c r="CC121" s="107"/>
      <c r="CD121" s="107"/>
      <c r="CE121" s="107"/>
      <c r="CF121" s="107"/>
      <c r="CG121" s="107"/>
      <c r="CH121" s="107"/>
      <c r="CI121" s="107"/>
      <c r="CJ121" s="107"/>
      <c r="CK121" s="107"/>
      <c r="CL121" s="107"/>
      <c r="CM121" s="107"/>
      <c r="CN121" s="107"/>
      <c r="CO121" s="107"/>
      <c r="CP121" s="107"/>
      <c r="CQ121" s="107"/>
      <c r="CR121" s="107"/>
      <c r="CS121" s="107"/>
      <c r="CT121" s="107"/>
      <c r="CU121" s="107"/>
    </row>
    <row r="122" spans="1:99" s="105" customFormat="1">
      <c r="A122" s="104"/>
      <c r="B122" s="108"/>
      <c r="C122" s="106"/>
      <c r="E122" s="105" t="s">
        <v>1</v>
      </c>
      <c r="G122" s="105">
        <f>TRUNC(SUM(G115:G121),2)</f>
        <v>55.48</v>
      </c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7"/>
      <c r="AV122" s="107"/>
      <c r="AW122" s="107"/>
      <c r="AX122" s="107"/>
      <c r="AY122" s="107"/>
      <c r="AZ122" s="107"/>
      <c r="BA122" s="107"/>
      <c r="BB122" s="107"/>
      <c r="BC122" s="107"/>
      <c r="BD122" s="107"/>
      <c r="BE122" s="107"/>
      <c r="BF122" s="107"/>
      <c r="BG122" s="107"/>
      <c r="BH122" s="107"/>
      <c r="BI122" s="107"/>
      <c r="BJ122" s="107"/>
      <c r="BK122" s="107"/>
      <c r="BL122" s="107"/>
      <c r="BM122" s="107"/>
      <c r="BN122" s="107"/>
      <c r="BO122" s="107"/>
      <c r="BP122" s="107"/>
      <c r="BQ122" s="107"/>
      <c r="BR122" s="107"/>
      <c r="BS122" s="107"/>
      <c r="BT122" s="107"/>
      <c r="BU122" s="107"/>
      <c r="BV122" s="107"/>
      <c r="BW122" s="107"/>
      <c r="BX122" s="107"/>
      <c r="BY122" s="107"/>
      <c r="BZ122" s="107"/>
      <c r="CA122" s="107"/>
      <c r="CB122" s="107"/>
      <c r="CC122" s="107"/>
      <c r="CD122" s="107"/>
      <c r="CE122" s="107"/>
      <c r="CF122" s="107"/>
      <c r="CG122" s="107"/>
      <c r="CH122" s="107"/>
      <c r="CI122" s="107"/>
      <c r="CJ122" s="107"/>
      <c r="CK122" s="107"/>
      <c r="CL122" s="107"/>
      <c r="CM122" s="107"/>
      <c r="CN122" s="107"/>
      <c r="CO122" s="107"/>
      <c r="CP122" s="107"/>
      <c r="CQ122" s="107"/>
      <c r="CR122" s="107"/>
      <c r="CS122" s="107"/>
      <c r="CT122" s="107"/>
      <c r="CU122" s="107"/>
    </row>
    <row r="123" spans="1:99" s="110" customFormat="1" ht="42.75" customHeight="1">
      <c r="A123" s="109" t="s">
        <v>137</v>
      </c>
      <c r="B123" s="118" t="s">
        <v>308</v>
      </c>
      <c r="C123" s="111" t="s">
        <v>310</v>
      </c>
      <c r="D123" s="110" t="s">
        <v>27</v>
      </c>
      <c r="E123" s="110">
        <v>125.5</v>
      </c>
      <c r="F123" s="110">
        <f>TRUNC(G132,2)</f>
        <v>71.28</v>
      </c>
      <c r="G123" s="110">
        <f>TRUNC(F123*1.2882,2)</f>
        <v>91.82</v>
      </c>
      <c r="H123" s="110">
        <f>TRUNC((E123*F123),2)</f>
        <v>8945.64</v>
      </c>
      <c r="I123" s="110">
        <f>TRUNC((E123*G123),2)</f>
        <v>11523.41</v>
      </c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  <c r="BJ123" s="112"/>
      <c r="BK123" s="112"/>
      <c r="BL123" s="112"/>
      <c r="BM123" s="112"/>
      <c r="BN123" s="112"/>
      <c r="BO123" s="112"/>
      <c r="BP123" s="112"/>
      <c r="BQ123" s="112"/>
      <c r="BR123" s="112"/>
      <c r="BS123" s="112"/>
      <c r="BT123" s="112"/>
      <c r="BU123" s="112"/>
      <c r="BV123" s="112"/>
      <c r="BW123" s="112"/>
      <c r="BX123" s="112"/>
      <c r="BY123" s="112"/>
      <c r="BZ123" s="112"/>
      <c r="CA123" s="112"/>
      <c r="CB123" s="112"/>
      <c r="CC123" s="112"/>
      <c r="CD123" s="112"/>
      <c r="CE123" s="112"/>
      <c r="CF123" s="112"/>
      <c r="CG123" s="112"/>
      <c r="CH123" s="112"/>
      <c r="CI123" s="112"/>
      <c r="CJ123" s="112"/>
      <c r="CK123" s="112"/>
      <c r="CL123" s="112"/>
      <c r="CM123" s="112"/>
      <c r="CN123" s="112"/>
      <c r="CO123" s="112"/>
      <c r="CP123" s="112"/>
      <c r="CQ123" s="112"/>
      <c r="CR123" s="112"/>
      <c r="CS123" s="112"/>
      <c r="CT123" s="112"/>
      <c r="CU123" s="112"/>
    </row>
    <row r="124" spans="1:99" s="116" customFormat="1" ht="30">
      <c r="A124" s="114"/>
      <c r="B124" s="120" t="s">
        <v>303</v>
      </c>
      <c r="C124" s="115" t="s">
        <v>304</v>
      </c>
      <c r="D124" s="116" t="s">
        <v>27</v>
      </c>
      <c r="E124" s="116">
        <v>1.1224000000000001</v>
      </c>
      <c r="F124" s="116">
        <v>6.64</v>
      </c>
      <c r="G124" s="116">
        <f t="shared" ref="G124:G131" si="3">TRUNC(E124*F124,2)</f>
        <v>7.45</v>
      </c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  <c r="AJ124" s="117"/>
      <c r="AK124" s="117"/>
      <c r="AL124" s="117"/>
      <c r="AM124" s="117"/>
      <c r="AN124" s="117"/>
      <c r="AO124" s="117"/>
      <c r="AP124" s="117"/>
      <c r="AQ124" s="117"/>
      <c r="AR124" s="117"/>
      <c r="AS124" s="117"/>
      <c r="AT124" s="117"/>
      <c r="AU124" s="117"/>
      <c r="AV124" s="117"/>
      <c r="AW124" s="117"/>
      <c r="AX124" s="117"/>
      <c r="AY124" s="117"/>
      <c r="AZ124" s="117"/>
      <c r="BA124" s="117"/>
      <c r="BB124" s="117"/>
      <c r="BC124" s="117"/>
      <c r="BD124" s="117"/>
      <c r="BE124" s="117"/>
      <c r="BF124" s="117"/>
      <c r="BG124" s="117"/>
      <c r="BH124" s="117"/>
      <c r="BI124" s="117"/>
      <c r="BJ124" s="117"/>
      <c r="BK124" s="117"/>
      <c r="BL124" s="117"/>
      <c r="BM124" s="117"/>
      <c r="BN124" s="117"/>
      <c r="BO124" s="117"/>
      <c r="BP124" s="117"/>
      <c r="BQ124" s="117"/>
      <c r="BR124" s="117"/>
      <c r="BS124" s="117"/>
      <c r="BT124" s="117"/>
      <c r="BU124" s="117"/>
      <c r="BV124" s="117"/>
      <c r="BW124" s="117"/>
      <c r="BX124" s="117"/>
      <c r="BY124" s="117"/>
      <c r="BZ124" s="117"/>
      <c r="CA124" s="117"/>
      <c r="CB124" s="117"/>
      <c r="CC124" s="117"/>
      <c r="CD124" s="117"/>
      <c r="CE124" s="117"/>
      <c r="CF124" s="117"/>
      <c r="CG124" s="117"/>
      <c r="CH124" s="117"/>
      <c r="CI124" s="117"/>
      <c r="CJ124" s="117"/>
      <c r="CK124" s="117"/>
      <c r="CL124" s="117"/>
      <c r="CM124" s="117"/>
      <c r="CN124" s="117"/>
      <c r="CO124" s="117"/>
      <c r="CP124" s="117"/>
      <c r="CQ124" s="117"/>
      <c r="CR124" s="117"/>
      <c r="CS124" s="117"/>
      <c r="CT124" s="117"/>
      <c r="CU124" s="117"/>
    </row>
    <row r="125" spans="1:99" s="105" customFormat="1">
      <c r="A125" s="104"/>
      <c r="B125" s="108" t="s">
        <v>274</v>
      </c>
      <c r="C125" s="106" t="s">
        <v>160</v>
      </c>
      <c r="D125" s="105" t="s">
        <v>46</v>
      </c>
      <c r="E125" s="105">
        <v>0.2</v>
      </c>
      <c r="F125" s="105">
        <f>TRUNC(2.03,2)</f>
        <v>2.0299999999999998</v>
      </c>
      <c r="G125" s="105">
        <f t="shared" si="3"/>
        <v>0.4</v>
      </c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7"/>
      <c r="AV125" s="107"/>
      <c r="AW125" s="107"/>
      <c r="AX125" s="107"/>
      <c r="AY125" s="107"/>
      <c r="AZ125" s="107"/>
      <c r="BA125" s="107"/>
      <c r="BB125" s="107"/>
      <c r="BC125" s="107"/>
      <c r="BD125" s="107"/>
      <c r="BE125" s="107"/>
      <c r="BF125" s="107"/>
      <c r="BG125" s="107"/>
      <c r="BH125" s="107"/>
      <c r="BI125" s="107"/>
      <c r="BJ125" s="107"/>
      <c r="BK125" s="107"/>
      <c r="BL125" s="107"/>
      <c r="BM125" s="107"/>
      <c r="BN125" s="107"/>
      <c r="BO125" s="107"/>
      <c r="BP125" s="107"/>
      <c r="BQ125" s="107"/>
      <c r="BR125" s="107"/>
      <c r="BS125" s="107"/>
      <c r="BT125" s="107"/>
      <c r="BU125" s="107"/>
      <c r="BV125" s="107"/>
      <c r="BW125" s="107"/>
      <c r="BX125" s="107"/>
      <c r="BY125" s="107"/>
      <c r="BZ125" s="107"/>
      <c r="CA125" s="107"/>
      <c r="CB125" s="107"/>
      <c r="CC125" s="107"/>
      <c r="CD125" s="107"/>
      <c r="CE125" s="107"/>
      <c r="CF125" s="107"/>
      <c r="CG125" s="107"/>
      <c r="CH125" s="107"/>
      <c r="CI125" s="107"/>
      <c r="CJ125" s="107"/>
      <c r="CK125" s="107"/>
      <c r="CL125" s="107"/>
      <c r="CM125" s="107"/>
      <c r="CN125" s="107"/>
      <c r="CO125" s="107"/>
      <c r="CP125" s="107"/>
      <c r="CQ125" s="107"/>
      <c r="CR125" s="107"/>
      <c r="CS125" s="107"/>
      <c r="CT125" s="107"/>
      <c r="CU125" s="107"/>
    </row>
    <row r="126" spans="1:99" s="105" customFormat="1">
      <c r="A126" s="104"/>
      <c r="B126" s="108" t="s">
        <v>275</v>
      </c>
      <c r="C126" s="106" t="s">
        <v>156</v>
      </c>
      <c r="D126" s="105" t="s">
        <v>46</v>
      </c>
      <c r="E126" s="105">
        <v>0.25</v>
      </c>
      <c r="F126" s="105">
        <f>TRUNC(5.57,2)</f>
        <v>5.57</v>
      </c>
      <c r="G126" s="105">
        <f t="shared" si="3"/>
        <v>1.39</v>
      </c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7"/>
      <c r="AV126" s="107"/>
      <c r="AW126" s="107"/>
      <c r="AX126" s="107"/>
      <c r="AY126" s="107"/>
      <c r="AZ126" s="107"/>
      <c r="BA126" s="107"/>
      <c r="BB126" s="107"/>
      <c r="BC126" s="107"/>
      <c r="BD126" s="107"/>
      <c r="BE126" s="107"/>
      <c r="BF126" s="107"/>
      <c r="BG126" s="107"/>
      <c r="BH126" s="107"/>
      <c r="BI126" s="107"/>
      <c r="BJ126" s="107"/>
      <c r="BK126" s="107"/>
      <c r="BL126" s="107"/>
      <c r="BM126" s="107"/>
      <c r="BN126" s="107"/>
      <c r="BO126" s="107"/>
      <c r="BP126" s="107"/>
      <c r="BQ126" s="107"/>
      <c r="BR126" s="107"/>
      <c r="BS126" s="107"/>
      <c r="BT126" s="107"/>
      <c r="BU126" s="107"/>
      <c r="BV126" s="107"/>
      <c r="BW126" s="107"/>
      <c r="BX126" s="107"/>
      <c r="BY126" s="107"/>
      <c r="BZ126" s="107"/>
      <c r="CA126" s="107"/>
      <c r="CB126" s="107"/>
      <c r="CC126" s="107"/>
      <c r="CD126" s="107"/>
      <c r="CE126" s="107"/>
      <c r="CF126" s="107"/>
      <c r="CG126" s="107"/>
      <c r="CH126" s="107"/>
      <c r="CI126" s="107"/>
      <c r="CJ126" s="107"/>
      <c r="CK126" s="107"/>
      <c r="CL126" s="107"/>
      <c r="CM126" s="107"/>
      <c r="CN126" s="107"/>
      <c r="CO126" s="107"/>
      <c r="CP126" s="107"/>
      <c r="CQ126" s="107"/>
      <c r="CR126" s="107"/>
      <c r="CS126" s="107"/>
      <c r="CT126" s="107"/>
      <c r="CU126" s="107"/>
    </row>
    <row r="127" spans="1:99" s="105" customFormat="1">
      <c r="A127" s="104"/>
      <c r="B127" s="108" t="s">
        <v>276</v>
      </c>
      <c r="C127" s="106" t="s">
        <v>158</v>
      </c>
      <c r="D127" s="105" t="s">
        <v>27</v>
      </c>
      <c r="E127" s="105">
        <v>1.1279999999999999</v>
      </c>
      <c r="F127" s="105">
        <f>TRUNC(1,2)</f>
        <v>1</v>
      </c>
      <c r="G127" s="105">
        <f t="shared" si="3"/>
        <v>1.1200000000000001</v>
      </c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7"/>
      <c r="AV127" s="107"/>
      <c r="AW127" s="107"/>
      <c r="AX127" s="107"/>
      <c r="AY127" s="107"/>
      <c r="AZ127" s="107"/>
      <c r="BA127" s="107"/>
      <c r="BB127" s="107"/>
      <c r="BC127" s="107"/>
      <c r="BD127" s="107"/>
      <c r="BE127" s="107"/>
      <c r="BF127" s="107"/>
      <c r="BG127" s="107"/>
      <c r="BH127" s="107"/>
      <c r="BI127" s="107"/>
      <c r="BJ127" s="107"/>
      <c r="BK127" s="107"/>
      <c r="BL127" s="107"/>
      <c r="BM127" s="107"/>
      <c r="BN127" s="107"/>
      <c r="BO127" s="107"/>
      <c r="BP127" s="107"/>
      <c r="BQ127" s="107"/>
      <c r="BR127" s="107"/>
      <c r="BS127" s="107"/>
      <c r="BT127" s="107"/>
      <c r="BU127" s="107"/>
      <c r="BV127" s="107"/>
      <c r="BW127" s="107"/>
      <c r="BX127" s="107"/>
      <c r="BY127" s="107"/>
      <c r="BZ127" s="107"/>
      <c r="CA127" s="107"/>
      <c r="CB127" s="107"/>
      <c r="CC127" s="107"/>
      <c r="CD127" s="107"/>
      <c r="CE127" s="107"/>
      <c r="CF127" s="107"/>
      <c r="CG127" s="107"/>
      <c r="CH127" s="107"/>
      <c r="CI127" s="107"/>
      <c r="CJ127" s="107"/>
      <c r="CK127" s="107"/>
      <c r="CL127" s="107"/>
      <c r="CM127" s="107"/>
      <c r="CN127" s="107"/>
      <c r="CO127" s="107"/>
      <c r="CP127" s="107"/>
      <c r="CQ127" s="107"/>
      <c r="CR127" s="107"/>
      <c r="CS127" s="107"/>
      <c r="CT127" s="107"/>
      <c r="CU127" s="107"/>
    </row>
    <row r="128" spans="1:99" s="105" customFormat="1">
      <c r="A128" s="104"/>
      <c r="B128" s="108" t="s">
        <v>277</v>
      </c>
      <c r="C128" s="106" t="s">
        <v>132</v>
      </c>
      <c r="D128" s="105" t="s">
        <v>0</v>
      </c>
      <c r="E128" s="105">
        <v>0.55730000000000002</v>
      </c>
      <c r="F128" s="105">
        <f>TRUNC(20.38,2)</f>
        <v>20.38</v>
      </c>
      <c r="G128" s="105">
        <f t="shared" si="3"/>
        <v>11.35</v>
      </c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7"/>
      <c r="AV128" s="107"/>
      <c r="AW128" s="107"/>
      <c r="AX128" s="107"/>
      <c r="AY128" s="107"/>
      <c r="AZ128" s="107"/>
      <c r="BA128" s="107"/>
      <c r="BB128" s="107"/>
      <c r="BC128" s="107"/>
      <c r="BD128" s="107"/>
      <c r="BE128" s="107"/>
      <c r="BF128" s="107"/>
      <c r="BG128" s="107"/>
      <c r="BH128" s="107"/>
      <c r="BI128" s="107"/>
      <c r="BJ128" s="107"/>
      <c r="BK128" s="107"/>
      <c r="BL128" s="107"/>
      <c r="BM128" s="107"/>
      <c r="BN128" s="107"/>
      <c r="BO128" s="107"/>
      <c r="BP128" s="107"/>
      <c r="BQ128" s="107"/>
      <c r="BR128" s="107"/>
      <c r="BS128" s="107"/>
      <c r="BT128" s="107"/>
      <c r="BU128" s="107"/>
      <c r="BV128" s="107"/>
      <c r="BW128" s="107"/>
      <c r="BX128" s="107"/>
      <c r="BY128" s="107"/>
      <c r="BZ128" s="107"/>
      <c r="CA128" s="107"/>
      <c r="CB128" s="107"/>
      <c r="CC128" s="107"/>
      <c r="CD128" s="107"/>
      <c r="CE128" s="107"/>
      <c r="CF128" s="107"/>
      <c r="CG128" s="107"/>
      <c r="CH128" s="107"/>
      <c r="CI128" s="107"/>
      <c r="CJ128" s="107"/>
      <c r="CK128" s="107"/>
      <c r="CL128" s="107"/>
      <c r="CM128" s="107"/>
      <c r="CN128" s="107"/>
      <c r="CO128" s="107"/>
      <c r="CP128" s="107"/>
      <c r="CQ128" s="107"/>
      <c r="CR128" s="107"/>
      <c r="CS128" s="107"/>
      <c r="CT128" s="107"/>
      <c r="CU128" s="107"/>
    </row>
    <row r="129" spans="1:99" s="105" customFormat="1">
      <c r="A129" s="104"/>
      <c r="B129" s="108" t="s">
        <v>278</v>
      </c>
      <c r="C129" s="106" t="s">
        <v>162</v>
      </c>
      <c r="D129" s="105" t="s">
        <v>0</v>
      </c>
      <c r="E129" s="105">
        <v>0.33169999999999999</v>
      </c>
      <c r="F129" s="105">
        <f>TRUNC(25.63,2)</f>
        <v>25.63</v>
      </c>
      <c r="G129" s="105">
        <f t="shared" si="3"/>
        <v>8.5</v>
      </c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7"/>
      <c r="AV129" s="107"/>
      <c r="AW129" s="107"/>
      <c r="AX129" s="107"/>
      <c r="AY129" s="107"/>
      <c r="AZ129" s="107"/>
      <c r="BA129" s="107"/>
      <c r="BB129" s="107"/>
      <c r="BC129" s="107"/>
      <c r="BD129" s="107"/>
      <c r="BE129" s="107"/>
      <c r="BF129" s="107"/>
      <c r="BG129" s="107"/>
      <c r="BH129" s="107"/>
      <c r="BI129" s="107"/>
      <c r="BJ129" s="107"/>
      <c r="BK129" s="107"/>
      <c r="BL129" s="107"/>
      <c r="BM129" s="107"/>
      <c r="BN129" s="107"/>
      <c r="BO129" s="107"/>
      <c r="BP129" s="107"/>
      <c r="BQ129" s="107"/>
      <c r="BR129" s="107"/>
      <c r="BS129" s="107"/>
      <c r="BT129" s="107"/>
      <c r="BU129" s="107"/>
      <c r="BV129" s="107"/>
      <c r="BW129" s="107"/>
      <c r="BX129" s="107"/>
      <c r="BY129" s="107"/>
      <c r="BZ129" s="107"/>
      <c r="CA129" s="107"/>
      <c r="CB129" s="107"/>
      <c r="CC129" s="107"/>
      <c r="CD129" s="107"/>
      <c r="CE129" s="107"/>
      <c r="CF129" s="107"/>
      <c r="CG129" s="107"/>
      <c r="CH129" s="107"/>
      <c r="CI129" s="107"/>
      <c r="CJ129" s="107"/>
      <c r="CK129" s="107"/>
      <c r="CL129" s="107"/>
      <c r="CM129" s="107"/>
      <c r="CN129" s="107"/>
      <c r="CO129" s="107"/>
      <c r="CP129" s="107"/>
      <c r="CQ129" s="107"/>
      <c r="CR129" s="107"/>
      <c r="CS129" s="107"/>
      <c r="CT129" s="107"/>
      <c r="CU129" s="107"/>
    </row>
    <row r="130" spans="1:99" s="105" customFormat="1">
      <c r="A130" s="104"/>
      <c r="B130" s="108" t="s">
        <v>279</v>
      </c>
      <c r="C130" s="106" t="s">
        <v>164</v>
      </c>
      <c r="D130" s="105" t="s">
        <v>0</v>
      </c>
      <c r="E130" s="105">
        <v>0.22559999999999999</v>
      </c>
      <c r="F130" s="105">
        <f>TRUNC(25.52,2)</f>
        <v>25.52</v>
      </c>
      <c r="G130" s="105">
        <f t="shared" si="3"/>
        <v>5.75</v>
      </c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107"/>
      <c r="BC130" s="107"/>
      <c r="BD130" s="107"/>
      <c r="BE130" s="107"/>
      <c r="BF130" s="107"/>
      <c r="BG130" s="107"/>
      <c r="BH130" s="107"/>
      <c r="BI130" s="107"/>
      <c r="BJ130" s="107"/>
      <c r="BK130" s="107"/>
      <c r="BL130" s="107"/>
      <c r="BM130" s="107"/>
      <c r="BN130" s="107"/>
      <c r="BO130" s="107"/>
      <c r="BP130" s="107"/>
      <c r="BQ130" s="107"/>
      <c r="BR130" s="107"/>
      <c r="BS130" s="107"/>
      <c r="BT130" s="107"/>
      <c r="BU130" s="107"/>
      <c r="BV130" s="107"/>
      <c r="BW130" s="107"/>
      <c r="BX130" s="107"/>
      <c r="BY130" s="107"/>
      <c r="BZ130" s="107"/>
      <c r="CA130" s="107"/>
      <c r="CB130" s="107"/>
      <c r="CC130" s="107"/>
      <c r="CD130" s="107"/>
      <c r="CE130" s="107"/>
      <c r="CF130" s="107"/>
      <c r="CG130" s="107"/>
      <c r="CH130" s="107"/>
      <c r="CI130" s="107"/>
      <c r="CJ130" s="107"/>
      <c r="CK130" s="107"/>
      <c r="CL130" s="107"/>
      <c r="CM130" s="107"/>
      <c r="CN130" s="107"/>
      <c r="CO130" s="107"/>
      <c r="CP130" s="107"/>
      <c r="CQ130" s="107"/>
      <c r="CR130" s="107"/>
      <c r="CS130" s="107"/>
      <c r="CT130" s="107"/>
      <c r="CU130" s="107"/>
    </row>
    <row r="131" spans="1:99" s="116" customFormat="1" ht="30">
      <c r="A131" s="114"/>
      <c r="B131" s="120" t="s">
        <v>280</v>
      </c>
      <c r="C131" s="115" t="s">
        <v>281</v>
      </c>
      <c r="D131" s="116" t="s">
        <v>66</v>
      </c>
      <c r="E131" s="116">
        <v>9.7000000000000003E-2</v>
      </c>
      <c r="F131" s="116">
        <f>TRUNC(364.15,2)</f>
        <v>364.15</v>
      </c>
      <c r="G131" s="116">
        <f t="shared" si="3"/>
        <v>35.32</v>
      </c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  <c r="AJ131" s="117"/>
      <c r="AK131" s="117"/>
      <c r="AL131" s="117"/>
      <c r="AM131" s="117"/>
      <c r="AN131" s="117"/>
      <c r="AO131" s="117"/>
      <c r="AP131" s="117"/>
      <c r="AQ131" s="117"/>
      <c r="AR131" s="117"/>
      <c r="AS131" s="117"/>
      <c r="AT131" s="117"/>
      <c r="AU131" s="117"/>
      <c r="AV131" s="117"/>
      <c r="AW131" s="117"/>
      <c r="AX131" s="117"/>
      <c r="AY131" s="117"/>
      <c r="AZ131" s="117"/>
      <c r="BA131" s="117"/>
      <c r="BB131" s="117"/>
      <c r="BC131" s="117"/>
      <c r="BD131" s="117"/>
      <c r="BE131" s="117"/>
      <c r="BF131" s="117"/>
      <c r="BG131" s="117"/>
      <c r="BH131" s="117"/>
      <c r="BI131" s="117"/>
      <c r="BJ131" s="117"/>
      <c r="BK131" s="117"/>
      <c r="BL131" s="117"/>
      <c r="BM131" s="117"/>
      <c r="BN131" s="117"/>
      <c r="BO131" s="117"/>
      <c r="BP131" s="117"/>
      <c r="BQ131" s="117"/>
      <c r="BR131" s="117"/>
      <c r="BS131" s="117"/>
      <c r="BT131" s="117"/>
      <c r="BU131" s="117"/>
      <c r="BV131" s="117"/>
      <c r="BW131" s="117"/>
      <c r="BX131" s="117"/>
      <c r="BY131" s="117"/>
      <c r="BZ131" s="117"/>
      <c r="CA131" s="117"/>
      <c r="CB131" s="117"/>
      <c r="CC131" s="117"/>
      <c r="CD131" s="117"/>
      <c r="CE131" s="117"/>
      <c r="CF131" s="117"/>
      <c r="CG131" s="117"/>
      <c r="CH131" s="117"/>
      <c r="CI131" s="117"/>
      <c r="CJ131" s="117"/>
      <c r="CK131" s="117"/>
      <c r="CL131" s="117"/>
      <c r="CM131" s="117"/>
      <c r="CN131" s="117"/>
      <c r="CO131" s="117"/>
      <c r="CP131" s="117"/>
      <c r="CQ131" s="117"/>
      <c r="CR131" s="117"/>
      <c r="CS131" s="117"/>
      <c r="CT131" s="117"/>
      <c r="CU131" s="117"/>
    </row>
    <row r="132" spans="1:99" s="105" customFormat="1">
      <c r="A132" s="104"/>
      <c r="B132" s="108"/>
      <c r="C132" s="106"/>
      <c r="E132" s="105" t="s">
        <v>1</v>
      </c>
      <c r="G132" s="105">
        <f>TRUNC(SUM(G124:G131),2)</f>
        <v>71.28</v>
      </c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7"/>
      <c r="AV132" s="107"/>
      <c r="AW132" s="107"/>
      <c r="AX132" s="107"/>
      <c r="AY132" s="107"/>
      <c r="AZ132" s="107"/>
      <c r="BA132" s="107"/>
      <c r="BB132" s="107"/>
      <c r="BC132" s="107"/>
      <c r="BD132" s="107"/>
      <c r="BE132" s="107"/>
      <c r="BF132" s="107"/>
      <c r="BG132" s="107"/>
      <c r="BH132" s="107"/>
      <c r="BI132" s="107"/>
      <c r="BJ132" s="107"/>
      <c r="BK132" s="107"/>
      <c r="BL132" s="107"/>
      <c r="BM132" s="107"/>
      <c r="BN132" s="107"/>
      <c r="BO132" s="107"/>
      <c r="BP132" s="107"/>
      <c r="BQ132" s="107"/>
      <c r="BR132" s="107"/>
      <c r="BS132" s="107"/>
      <c r="BT132" s="107"/>
      <c r="BU132" s="107"/>
      <c r="BV132" s="107"/>
      <c r="BW132" s="107"/>
      <c r="BX132" s="107"/>
      <c r="BY132" s="107"/>
      <c r="BZ132" s="107"/>
      <c r="CA132" s="107"/>
      <c r="CB132" s="107"/>
      <c r="CC132" s="107"/>
      <c r="CD132" s="107"/>
      <c r="CE132" s="107"/>
      <c r="CF132" s="107"/>
      <c r="CG132" s="107"/>
      <c r="CH132" s="107"/>
      <c r="CI132" s="107"/>
      <c r="CJ132" s="107"/>
      <c r="CK132" s="107"/>
      <c r="CL132" s="107"/>
      <c r="CM132" s="107"/>
      <c r="CN132" s="107"/>
      <c r="CO132" s="107"/>
      <c r="CP132" s="107"/>
      <c r="CQ132" s="107"/>
      <c r="CR132" s="107"/>
      <c r="CS132" s="107"/>
      <c r="CT132" s="107"/>
      <c r="CU132" s="107"/>
    </row>
    <row r="133" spans="1:99" s="110" customFormat="1" ht="45">
      <c r="A133" s="109" t="s">
        <v>138</v>
      </c>
      <c r="B133" s="118" t="s">
        <v>282</v>
      </c>
      <c r="C133" s="111" t="s">
        <v>167</v>
      </c>
      <c r="D133" s="110" t="s">
        <v>27</v>
      </c>
      <c r="E133" s="110">
        <v>4.8</v>
      </c>
      <c r="F133" s="110">
        <f>TRUNC(G141,2)</f>
        <v>121.9</v>
      </c>
      <c r="G133" s="110">
        <f>TRUNC(F133*1.2882,2)</f>
        <v>157.03</v>
      </c>
      <c r="H133" s="110">
        <f>TRUNC((E133*F133),2)</f>
        <v>585.12</v>
      </c>
      <c r="I133" s="110">
        <f>TRUNC((E133*G133),2)</f>
        <v>753.74</v>
      </c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  <c r="BJ133" s="112"/>
      <c r="BK133" s="112"/>
      <c r="BL133" s="112"/>
      <c r="BM133" s="112"/>
      <c r="BN133" s="112"/>
      <c r="BO133" s="112"/>
      <c r="BP133" s="112"/>
      <c r="BQ133" s="112"/>
      <c r="BR133" s="112"/>
      <c r="BS133" s="112"/>
      <c r="BT133" s="112"/>
      <c r="BU133" s="112"/>
      <c r="BV133" s="112"/>
      <c r="BW133" s="112"/>
      <c r="BX133" s="112"/>
      <c r="BY133" s="112"/>
      <c r="BZ133" s="112"/>
      <c r="CA133" s="112"/>
      <c r="CB133" s="112"/>
      <c r="CC133" s="112"/>
      <c r="CD133" s="112"/>
      <c r="CE133" s="112"/>
      <c r="CF133" s="112"/>
      <c r="CG133" s="112"/>
      <c r="CH133" s="112"/>
      <c r="CI133" s="112"/>
      <c r="CJ133" s="112"/>
      <c r="CK133" s="112"/>
      <c r="CL133" s="112"/>
      <c r="CM133" s="112"/>
      <c r="CN133" s="112"/>
      <c r="CO133" s="112"/>
      <c r="CP133" s="112"/>
      <c r="CQ133" s="112"/>
      <c r="CR133" s="112"/>
      <c r="CS133" s="112"/>
      <c r="CT133" s="112"/>
      <c r="CU133" s="112"/>
    </row>
    <row r="134" spans="1:99" s="105" customFormat="1">
      <c r="A134" s="104"/>
      <c r="B134" s="108" t="s">
        <v>168</v>
      </c>
      <c r="C134" s="106" t="s">
        <v>169</v>
      </c>
      <c r="D134" s="105" t="s">
        <v>27</v>
      </c>
      <c r="E134" s="105">
        <v>1.05</v>
      </c>
      <c r="F134" s="105">
        <f>TRUNC(61.8,2)</f>
        <v>61.8</v>
      </c>
      <c r="G134" s="105">
        <f t="shared" ref="G134:G140" si="4">TRUNC(E134*F134,2)</f>
        <v>64.89</v>
      </c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7"/>
      <c r="AV134" s="107"/>
      <c r="AW134" s="107"/>
      <c r="AX134" s="107"/>
      <c r="AY134" s="107"/>
      <c r="AZ134" s="107"/>
      <c r="BA134" s="107"/>
      <c r="BB134" s="107"/>
      <c r="BC134" s="107"/>
      <c r="BD134" s="107"/>
      <c r="BE134" s="107"/>
      <c r="BF134" s="107"/>
      <c r="BG134" s="107"/>
      <c r="BH134" s="107"/>
      <c r="BI134" s="107"/>
      <c r="BJ134" s="107"/>
      <c r="BK134" s="107"/>
      <c r="BL134" s="107"/>
      <c r="BM134" s="107"/>
      <c r="BN134" s="107"/>
      <c r="BO134" s="107"/>
      <c r="BP134" s="107"/>
      <c r="BQ134" s="107"/>
      <c r="BR134" s="107"/>
      <c r="BS134" s="107"/>
      <c r="BT134" s="107"/>
      <c r="BU134" s="107"/>
      <c r="BV134" s="107"/>
      <c r="BW134" s="107"/>
      <c r="BX134" s="107"/>
      <c r="BY134" s="107"/>
      <c r="BZ134" s="107"/>
      <c r="CA134" s="107"/>
      <c r="CB134" s="107"/>
      <c r="CC134" s="107"/>
      <c r="CD134" s="107"/>
      <c r="CE134" s="107"/>
      <c r="CF134" s="107"/>
      <c r="CG134" s="107"/>
      <c r="CH134" s="107"/>
      <c r="CI134" s="107"/>
      <c r="CJ134" s="107"/>
      <c r="CK134" s="107"/>
      <c r="CL134" s="107"/>
      <c r="CM134" s="107"/>
      <c r="CN134" s="107"/>
      <c r="CO134" s="107"/>
      <c r="CP134" s="107"/>
      <c r="CQ134" s="107"/>
      <c r="CR134" s="107"/>
      <c r="CS134" s="107"/>
      <c r="CT134" s="107"/>
      <c r="CU134" s="107"/>
    </row>
    <row r="135" spans="1:99" s="105" customFormat="1">
      <c r="A135" s="104"/>
      <c r="B135" s="108" t="s">
        <v>170</v>
      </c>
      <c r="C135" s="106" t="s">
        <v>171</v>
      </c>
      <c r="D135" s="105" t="s">
        <v>43</v>
      </c>
      <c r="E135" s="105">
        <v>0.1</v>
      </c>
      <c r="F135" s="105">
        <f>TRUNC(38,2)</f>
        <v>38</v>
      </c>
      <c r="G135" s="105">
        <f t="shared" si="4"/>
        <v>3.8</v>
      </c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7"/>
      <c r="AV135" s="107"/>
      <c r="AW135" s="107"/>
      <c r="AX135" s="107"/>
      <c r="AY135" s="107"/>
      <c r="AZ135" s="107"/>
      <c r="BA135" s="107"/>
      <c r="BB135" s="107"/>
      <c r="BC135" s="107"/>
      <c r="BD135" s="107"/>
      <c r="BE135" s="107"/>
      <c r="BF135" s="107"/>
      <c r="BG135" s="107"/>
      <c r="BH135" s="107"/>
      <c r="BI135" s="107"/>
      <c r="BJ135" s="107"/>
      <c r="BK135" s="107"/>
      <c r="BL135" s="107"/>
      <c r="BM135" s="107"/>
      <c r="BN135" s="107"/>
      <c r="BO135" s="107"/>
      <c r="BP135" s="107"/>
      <c r="BQ135" s="107"/>
      <c r="BR135" s="107"/>
      <c r="BS135" s="107"/>
      <c r="BT135" s="107"/>
      <c r="BU135" s="107"/>
      <c r="BV135" s="107"/>
      <c r="BW135" s="107"/>
      <c r="BX135" s="107"/>
      <c r="BY135" s="107"/>
      <c r="BZ135" s="107"/>
      <c r="CA135" s="107"/>
      <c r="CB135" s="107"/>
      <c r="CC135" s="107"/>
      <c r="CD135" s="107"/>
      <c r="CE135" s="107"/>
      <c r="CF135" s="107"/>
      <c r="CG135" s="107"/>
      <c r="CH135" s="107"/>
      <c r="CI135" s="107"/>
      <c r="CJ135" s="107"/>
      <c r="CK135" s="107"/>
      <c r="CL135" s="107"/>
      <c r="CM135" s="107"/>
      <c r="CN135" s="107"/>
      <c r="CO135" s="107"/>
      <c r="CP135" s="107"/>
      <c r="CQ135" s="107"/>
      <c r="CR135" s="107"/>
      <c r="CS135" s="107"/>
      <c r="CT135" s="107"/>
      <c r="CU135" s="107"/>
    </row>
    <row r="136" spans="1:99" s="105" customFormat="1">
      <c r="A136" s="104"/>
      <c r="B136" s="108" t="s">
        <v>172</v>
      </c>
      <c r="C136" s="106" t="s">
        <v>173</v>
      </c>
      <c r="D136" s="105" t="s">
        <v>43</v>
      </c>
      <c r="E136" s="105">
        <v>0.1</v>
      </c>
      <c r="F136" s="105">
        <f>TRUNC(1.4,2)</f>
        <v>1.4</v>
      </c>
      <c r="G136" s="105">
        <f t="shared" si="4"/>
        <v>0.14000000000000001</v>
      </c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7"/>
      <c r="AV136" s="107"/>
      <c r="AW136" s="107"/>
      <c r="AX136" s="107"/>
      <c r="AY136" s="107"/>
      <c r="AZ136" s="107"/>
      <c r="BA136" s="107"/>
      <c r="BB136" s="107"/>
      <c r="BC136" s="107"/>
      <c r="BD136" s="107"/>
      <c r="BE136" s="107"/>
      <c r="BF136" s="107"/>
      <c r="BG136" s="107"/>
      <c r="BH136" s="107"/>
      <c r="BI136" s="107"/>
      <c r="BJ136" s="107"/>
      <c r="BK136" s="107"/>
      <c r="BL136" s="107"/>
      <c r="BM136" s="107"/>
      <c r="BN136" s="107"/>
      <c r="BO136" s="107"/>
      <c r="BP136" s="107"/>
      <c r="BQ136" s="107"/>
      <c r="BR136" s="107"/>
      <c r="BS136" s="107"/>
      <c r="BT136" s="107"/>
      <c r="BU136" s="107"/>
      <c r="BV136" s="107"/>
      <c r="BW136" s="107"/>
      <c r="BX136" s="107"/>
      <c r="BY136" s="107"/>
      <c r="BZ136" s="107"/>
      <c r="CA136" s="107"/>
      <c r="CB136" s="107"/>
      <c r="CC136" s="107"/>
      <c r="CD136" s="107"/>
      <c r="CE136" s="107"/>
      <c r="CF136" s="107"/>
      <c r="CG136" s="107"/>
      <c r="CH136" s="107"/>
      <c r="CI136" s="107"/>
      <c r="CJ136" s="107"/>
      <c r="CK136" s="107"/>
      <c r="CL136" s="107"/>
      <c r="CM136" s="107"/>
      <c r="CN136" s="107"/>
      <c r="CO136" s="107"/>
      <c r="CP136" s="107"/>
      <c r="CQ136" s="107"/>
      <c r="CR136" s="107"/>
      <c r="CS136" s="107"/>
      <c r="CT136" s="107"/>
      <c r="CU136" s="107"/>
    </row>
    <row r="137" spans="1:99" s="105" customFormat="1">
      <c r="A137" s="104"/>
      <c r="B137" s="108" t="s">
        <v>221</v>
      </c>
      <c r="C137" s="106" t="s">
        <v>222</v>
      </c>
      <c r="D137" s="105" t="s">
        <v>0</v>
      </c>
      <c r="E137" s="105">
        <v>1.1330000000000002</v>
      </c>
      <c r="F137" s="105">
        <f>TRUNC(13.6,2)</f>
        <v>13.6</v>
      </c>
      <c r="G137" s="105">
        <f t="shared" si="4"/>
        <v>15.4</v>
      </c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7"/>
      <c r="AN137" s="107"/>
      <c r="AO137" s="107"/>
      <c r="AP137" s="107"/>
      <c r="AQ137" s="107"/>
      <c r="AR137" s="107"/>
      <c r="AS137" s="107"/>
      <c r="AT137" s="107"/>
      <c r="AU137" s="107"/>
      <c r="AV137" s="107"/>
      <c r="AW137" s="107"/>
      <c r="AX137" s="107"/>
      <c r="AY137" s="107"/>
      <c r="AZ137" s="107"/>
      <c r="BA137" s="107"/>
      <c r="BB137" s="107"/>
      <c r="BC137" s="107"/>
      <c r="BD137" s="107"/>
      <c r="BE137" s="107"/>
      <c r="BF137" s="107"/>
      <c r="BG137" s="107"/>
      <c r="BH137" s="107"/>
      <c r="BI137" s="107"/>
      <c r="BJ137" s="107"/>
      <c r="BK137" s="107"/>
      <c r="BL137" s="107"/>
      <c r="BM137" s="107"/>
      <c r="BN137" s="107"/>
      <c r="BO137" s="107"/>
      <c r="BP137" s="107"/>
      <c r="BQ137" s="107"/>
      <c r="BR137" s="107"/>
      <c r="BS137" s="107"/>
      <c r="BT137" s="107"/>
      <c r="BU137" s="107"/>
      <c r="BV137" s="107"/>
      <c r="BW137" s="107"/>
      <c r="BX137" s="107"/>
      <c r="BY137" s="107"/>
      <c r="BZ137" s="107"/>
      <c r="CA137" s="107"/>
      <c r="CB137" s="107"/>
      <c r="CC137" s="107"/>
      <c r="CD137" s="107"/>
      <c r="CE137" s="107"/>
      <c r="CF137" s="107"/>
      <c r="CG137" s="107"/>
      <c r="CH137" s="107"/>
      <c r="CI137" s="107"/>
      <c r="CJ137" s="107"/>
      <c r="CK137" s="107"/>
      <c r="CL137" s="107"/>
      <c r="CM137" s="107"/>
      <c r="CN137" s="107"/>
      <c r="CO137" s="107"/>
      <c r="CP137" s="107"/>
      <c r="CQ137" s="107"/>
      <c r="CR137" s="107"/>
      <c r="CS137" s="107"/>
      <c r="CT137" s="107"/>
      <c r="CU137" s="107"/>
    </row>
    <row r="138" spans="1:99" s="105" customFormat="1">
      <c r="A138" s="104"/>
      <c r="B138" s="108" t="s">
        <v>283</v>
      </c>
      <c r="C138" s="106" t="s">
        <v>284</v>
      </c>
      <c r="D138" s="105" t="s">
        <v>0</v>
      </c>
      <c r="E138" s="105">
        <v>1.1330000000000002</v>
      </c>
      <c r="F138" s="105">
        <f>TRUNC(20.21,2)</f>
        <v>20.21</v>
      </c>
      <c r="G138" s="105">
        <f t="shared" si="4"/>
        <v>22.89</v>
      </c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7"/>
      <c r="AV138" s="107"/>
      <c r="AW138" s="107"/>
      <c r="AX138" s="107"/>
      <c r="AY138" s="107"/>
      <c r="AZ138" s="107"/>
      <c r="BA138" s="107"/>
      <c r="BB138" s="107"/>
      <c r="BC138" s="107"/>
      <c r="BD138" s="107"/>
      <c r="BE138" s="107"/>
      <c r="BF138" s="107"/>
      <c r="BG138" s="107"/>
      <c r="BH138" s="107"/>
      <c r="BI138" s="107"/>
      <c r="BJ138" s="107"/>
      <c r="BK138" s="107"/>
      <c r="BL138" s="107"/>
      <c r="BM138" s="107"/>
      <c r="BN138" s="107"/>
      <c r="BO138" s="107"/>
      <c r="BP138" s="107"/>
      <c r="BQ138" s="107"/>
      <c r="BR138" s="107"/>
      <c r="BS138" s="107"/>
      <c r="BT138" s="107"/>
      <c r="BU138" s="107"/>
      <c r="BV138" s="107"/>
      <c r="BW138" s="107"/>
      <c r="BX138" s="107"/>
      <c r="BY138" s="107"/>
      <c r="BZ138" s="107"/>
      <c r="CA138" s="107"/>
      <c r="CB138" s="107"/>
      <c r="CC138" s="107"/>
      <c r="CD138" s="107"/>
      <c r="CE138" s="107"/>
      <c r="CF138" s="107"/>
      <c r="CG138" s="107"/>
      <c r="CH138" s="107"/>
      <c r="CI138" s="107"/>
      <c r="CJ138" s="107"/>
      <c r="CK138" s="107"/>
      <c r="CL138" s="107"/>
      <c r="CM138" s="107"/>
      <c r="CN138" s="107"/>
      <c r="CO138" s="107"/>
      <c r="CP138" s="107"/>
      <c r="CQ138" s="107"/>
      <c r="CR138" s="107"/>
      <c r="CS138" s="107"/>
      <c r="CT138" s="107"/>
      <c r="CU138" s="107"/>
    </row>
    <row r="139" spans="1:99" s="105" customFormat="1">
      <c r="A139" s="104"/>
      <c r="B139" s="108" t="s">
        <v>285</v>
      </c>
      <c r="C139" s="106" t="s">
        <v>286</v>
      </c>
      <c r="D139" s="105" t="s">
        <v>66</v>
      </c>
      <c r="E139" s="105">
        <v>3.5000000000000003E-2</v>
      </c>
      <c r="F139" s="105">
        <f>TRUNC(380.2437,2)</f>
        <v>380.24</v>
      </c>
      <c r="G139" s="105">
        <f t="shared" si="4"/>
        <v>13.3</v>
      </c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7"/>
      <c r="AV139" s="107"/>
      <c r="AW139" s="107"/>
      <c r="AX139" s="107"/>
      <c r="AY139" s="107"/>
      <c r="AZ139" s="107"/>
      <c r="BA139" s="107"/>
      <c r="BB139" s="107"/>
      <c r="BC139" s="107"/>
      <c r="BD139" s="107"/>
      <c r="BE139" s="107"/>
      <c r="BF139" s="107"/>
      <c r="BG139" s="107"/>
      <c r="BH139" s="107"/>
      <c r="BI139" s="107"/>
      <c r="BJ139" s="107"/>
      <c r="BK139" s="107"/>
      <c r="BL139" s="107"/>
      <c r="BM139" s="107"/>
      <c r="BN139" s="107"/>
      <c r="BO139" s="107"/>
      <c r="BP139" s="107"/>
      <c r="BQ139" s="107"/>
      <c r="BR139" s="107"/>
      <c r="BS139" s="107"/>
      <c r="BT139" s="107"/>
      <c r="BU139" s="107"/>
      <c r="BV139" s="107"/>
      <c r="BW139" s="107"/>
      <c r="BX139" s="107"/>
      <c r="BY139" s="107"/>
      <c r="BZ139" s="107"/>
      <c r="CA139" s="107"/>
      <c r="CB139" s="107"/>
      <c r="CC139" s="107"/>
      <c r="CD139" s="107"/>
      <c r="CE139" s="107"/>
      <c r="CF139" s="107"/>
      <c r="CG139" s="107"/>
      <c r="CH139" s="107"/>
      <c r="CI139" s="107"/>
      <c r="CJ139" s="107"/>
      <c r="CK139" s="107"/>
      <c r="CL139" s="107"/>
      <c r="CM139" s="107"/>
      <c r="CN139" s="107"/>
      <c r="CO139" s="107"/>
      <c r="CP139" s="107"/>
      <c r="CQ139" s="107"/>
      <c r="CR139" s="107"/>
      <c r="CS139" s="107"/>
      <c r="CT139" s="107"/>
      <c r="CU139" s="107"/>
    </row>
    <row r="140" spans="1:99" s="105" customFormat="1">
      <c r="A140" s="104"/>
      <c r="B140" s="108" t="s">
        <v>287</v>
      </c>
      <c r="C140" s="106" t="s">
        <v>288</v>
      </c>
      <c r="D140" s="105" t="s">
        <v>66</v>
      </c>
      <c r="E140" s="105">
        <v>2E-3</v>
      </c>
      <c r="F140" s="105">
        <f>TRUNC(741.822,2)</f>
        <v>741.82</v>
      </c>
      <c r="G140" s="105">
        <f t="shared" si="4"/>
        <v>1.48</v>
      </c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7"/>
      <c r="AV140" s="107"/>
      <c r="AW140" s="107"/>
      <c r="AX140" s="107"/>
      <c r="AY140" s="107"/>
      <c r="AZ140" s="107"/>
      <c r="BA140" s="107"/>
      <c r="BB140" s="107"/>
      <c r="BC140" s="107"/>
      <c r="BD140" s="107"/>
      <c r="BE140" s="107"/>
      <c r="BF140" s="107"/>
      <c r="BG140" s="107"/>
      <c r="BH140" s="107"/>
      <c r="BI140" s="107"/>
      <c r="BJ140" s="107"/>
      <c r="BK140" s="107"/>
      <c r="BL140" s="107"/>
      <c r="BM140" s="107"/>
      <c r="BN140" s="107"/>
      <c r="BO140" s="107"/>
      <c r="BP140" s="107"/>
      <c r="BQ140" s="107"/>
      <c r="BR140" s="107"/>
      <c r="BS140" s="107"/>
      <c r="BT140" s="107"/>
      <c r="BU140" s="107"/>
      <c r="BV140" s="107"/>
      <c r="BW140" s="107"/>
      <c r="BX140" s="107"/>
      <c r="BY140" s="107"/>
      <c r="BZ140" s="107"/>
      <c r="CA140" s="107"/>
      <c r="CB140" s="107"/>
      <c r="CC140" s="107"/>
      <c r="CD140" s="107"/>
      <c r="CE140" s="107"/>
      <c r="CF140" s="107"/>
      <c r="CG140" s="107"/>
      <c r="CH140" s="107"/>
      <c r="CI140" s="107"/>
      <c r="CJ140" s="107"/>
      <c r="CK140" s="107"/>
      <c r="CL140" s="107"/>
      <c r="CM140" s="107"/>
      <c r="CN140" s="107"/>
      <c r="CO140" s="107"/>
      <c r="CP140" s="107"/>
      <c r="CQ140" s="107"/>
      <c r="CR140" s="107"/>
      <c r="CS140" s="107"/>
      <c r="CT140" s="107"/>
      <c r="CU140" s="107"/>
    </row>
    <row r="141" spans="1:99" s="105" customFormat="1">
      <c r="A141" s="104"/>
      <c r="B141" s="108"/>
      <c r="C141" s="106"/>
      <c r="E141" s="105" t="s">
        <v>1</v>
      </c>
      <c r="G141" s="105">
        <f>TRUNC(SUM(G134:G140),2)</f>
        <v>121.9</v>
      </c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7"/>
      <c r="AV141" s="107"/>
      <c r="AW141" s="107"/>
      <c r="AX141" s="107"/>
      <c r="AY141" s="107"/>
      <c r="AZ141" s="107"/>
      <c r="BA141" s="107"/>
      <c r="BB141" s="107"/>
      <c r="BC141" s="107"/>
      <c r="BD141" s="107"/>
      <c r="BE141" s="107"/>
      <c r="BF141" s="107"/>
      <c r="BG141" s="107"/>
      <c r="BH141" s="107"/>
      <c r="BI141" s="107"/>
      <c r="BJ141" s="107"/>
      <c r="BK141" s="107"/>
      <c r="BL141" s="107"/>
      <c r="BM141" s="107"/>
      <c r="BN141" s="107"/>
      <c r="BO141" s="107"/>
      <c r="BP141" s="107"/>
      <c r="BQ141" s="107"/>
      <c r="BR141" s="107"/>
      <c r="BS141" s="107"/>
      <c r="BT141" s="107"/>
      <c r="BU141" s="107"/>
      <c r="BV141" s="107"/>
      <c r="BW141" s="107"/>
      <c r="BX141" s="107"/>
      <c r="BY141" s="107"/>
      <c r="BZ141" s="107"/>
      <c r="CA141" s="107"/>
      <c r="CB141" s="107"/>
      <c r="CC141" s="107"/>
      <c r="CD141" s="107"/>
      <c r="CE141" s="107"/>
      <c r="CF141" s="107"/>
      <c r="CG141" s="107"/>
      <c r="CH141" s="107"/>
      <c r="CI141" s="107"/>
      <c r="CJ141" s="107"/>
      <c r="CK141" s="107"/>
      <c r="CL141" s="107"/>
      <c r="CM141" s="107"/>
      <c r="CN141" s="107"/>
      <c r="CO141" s="107"/>
      <c r="CP141" s="107"/>
      <c r="CQ141" s="107"/>
      <c r="CR141" s="107"/>
      <c r="CS141" s="107"/>
      <c r="CT141" s="107"/>
      <c r="CU141" s="107"/>
    </row>
    <row r="142" spans="1:99" s="76" customFormat="1">
      <c r="A142" s="92" t="s">
        <v>62</v>
      </c>
      <c r="C142" s="93"/>
      <c r="F142" s="76" t="s">
        <v>63</v>
      </c>
      <c r="H142" s="76">
        <f>SUM(H108:H133)</f>
        <v>11724.84</v>
      </c>
      <c r="I142" s="76">
        <f>SUM(I108:I133)</f>
        <v>15102.88</v>
      </c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75"/>
      <c r="BR142" s="75"/>
      <c r="BS142" s="75"/>
      <c r="BT142" s="75"/>
      <c r="BU142" s="75"/>
      <c r="BV142" s="75"/>
      <c r="BW142" s="75"/>
      <c r="BX142" s="75"/>
      <c r="BY142" s="75"/>
      <c r="BZ142" s="75"/>
      <c r="CA142" s="75"/>
      <c r="CB142" s="75"/>
      <c r="CC142" s="75"/>
      <c r="CD142" s="75"/>
      <c r="CE142" s="75"/>
      <c r="CF142" s="75"/>
      <c r="CG142" s="75"/>
      <c r="CH142" s="75"/>
      <c r="CI142" s="75"/>
      <c r="CJ142" s="75"/>
      <c r="CK142" s="75"/>
      <c r="CL142" s="75"/>
      <c r="CM142" s="75"/>
      <c r="CN142" s="75"/>
      <c r="CO142" s="75"/>
      <c r="CP142" s="75"/>
      <c r="CQ142" s="75"/>
      <c r="CR142" s="75"/>
      <c r="CS142" s="75"/>
      <c r="CT142" s="75"/>
      <c r="CU142" s="75"/>
    </row>
    <row r="143" spans="1:99" s="91" customFormat="1" ht="15.75">
      <c r="A143" s="84" t="s">
        <v>180</v>
      </c>
      <c r="B143" s="85"/>
      <c r="C143" s="86" t="s">
        <v>196</v>
      </c>
      <c r="D143" s="85"/>
      <c r="E143" s="85"/>
      <c r="F143" s="85"/>
      <c r="G143" s="87"/>
      <c r="H143" s="88"/>
      <c r="I143" s="89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0"/>
      <c r="BZ143" s="90"/>
      <c r="CA143" s="90"/>
      <c r="CB143" s="90"/>
      <c r="CC143" s="90"/>
      <c r="CD143" s="90"/>
      <c r="CE143" s="90"/>
      <c r="CF143" s="90"/>
      <c r="CG143" s="90"/>
      <c r="CH143" s="90"/>
      <c r="CI143" s="90"/>
      <c r="CJ143" s="90"/>
      <c r="CK143" s="90"/>
      <c r="CL143" s="90"/>
      <c r="CM143" s="90"/>
      <c r="CN143" s="90"/>
      <c r="CO143" s="90"/>
      <c r="CP143" s="90"/>
      <c r="CQ143" s="90"/>
      <c r="CR143" s="90"/>
      <c r="CS143" s="90"/>
      <c r="CT143" s="90"/>
      <c r="CU143" s="90"/>
    </row>
    <row r="144" spans="1:99" s="110" customFormat="1" ht="30">
      <c r="A144" s="109" t="s">
        <v>181</v>
      </c>
      <c r="B144" s="118" t="s">
        <v>289</v>
      </c>
      <c r="C144" s="111" t="s">
        <v>184</v>
      </c>
      <c r="D144" s="110" t="s">
        <v>66</v>
      </c>
      <c r="E144" s="110">
        <v>25</v>
      </c>
      <c r="F144" s="110">
        <f>TRUNC(G146,2)</f>
        <v>23.11</v>
      </c>
      <c r="G144" s="110">
        <f>TRUNC(F144*1.2882,2)</f>
        <v>29.77</v>
      </c>
      <c r="H144" s="110">
        <f>TRUNC((E144*F144),2)</f>
        <v>577.75</v>
      </c>
      <c r="I144" s="110">
        <f>TRUNC((E144*G144),2)</f>
        <v>744.25</v>
      </c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  <c r="BF144" s="112"/>
      <c r="BG144" s="112"/>
      <c r="BH144" s="112"/>
      <c r="BI144" s="112"/>
      <c r="BJ144" s="112"/>
      <c r="BK144" s="112"/>
      <c r="BL144" s="112"/>
      <c r="BM144" s="112"/>
      <c r="BN144" s="112"/>
      <c r="BO144" s="112"/>
      <c r="BP144" s="112"/>
      <c r="BQ144" s="112"/>
      <c r="BR144" s="112"/>
      <c r="BS144" s="112"/>
      <c r="BT144" s="112"/>
      <c r="BU144" s="112"/>
      <c r="BV144" s="112"/>
      <c r="BW144" s="112"/>
      <c r="BX144" s="112"/>
      <c r="BY144" s="112"/>
      <c r="BZ144" s="112"/>
      <c r="CA144" s="112"/>
      <c r="CB144" s="112"/>
      <c r="CC144" s="112"/>
      <c r="CD144" s="112"/>
      <c r="CE144" s="112"/>
      <c r="CF144" s="112"/>
      <c r="CG144" s="112"/>
      <c r="CH144" s="112"/>
      <c r="CI144" s="112"/>
      <c r="CJ144" s="112"/>
      <c r="CK144" s="112"/>
      <c r="CL144" s="112"/>
      <c r="CM144" s="112"/>
      <c r="CN144" s="112"/>
      <c r="CO144" s="112"/>
      <c r="CP144" s="112"/>
      <c r="CQ144" s="112"/>
      <c r="CR144" s="112"/>
      <c r="CS144" s="112"/>
      <c r="CT144" s="112"/>
      <c r="CU144" s="112"/>
    </row>
    <row r="145" spans="1:99" s="105" customFormat="1">
      <c r="A145" s="104"/>
      <c r="B145" s="108" t="s">
        <v>221</v>
      </c>
      <c r="C145" s="106" t="s">
        <v>222</v>
      </c>
      <c r="D145" s="105" t="s">
        <v>0</v>
      </c>
      <c r="E145" s="105">
        <v>1.6995</v>
      </c>
      <c r="F145" s="105">
        <f>TRUNC(13.6,2)</f>
        <v>13.6</v>
      </c>
      <c r="G145" s="105">
        <f>TRUNC(E145*F145,2)</f>
        <v>23.11</v>
      </c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7"/>
      <c r="AV145" s="107"/>
      <c r="AW145" s="107"/>
      <c r="AX145" s="107"/>
      <c r="AY145" s="107"/>
      <c r="AZ145" s="107"/>
      <c r="BA145" s="107"/>
      <c r="BB145" s="107"/>
      <c r="BC145" s="107"/>
      <c r="BD145" s="107"/>
      <c r="BE145" s="107"/>
      <c r="BF145" s="107"/>
      <c r="BG145" s="107"/>
      <c r="BH145" s="107"/>
      <c r="BI145" s="107"/>
      <c r="BJ145" s="107"/>
      <c r="BK145" s="107"/>
      <c r="BL145" s="107"/>
      <c r="BM145" s="107"/>
      <c r="BN145" s="107"/>
      <c r="BO145" s="107"/>
      <c r="BP145" s="107"/>
      <c r="BQ145" s="107"/>
      <c r="BR145" s="107"/>
      <c r="BS145" s="107"/>
      <c r="BT145" s="107"/>
      <c r="BU145" s="107"/>
      <c r="BV145" s="107"/>
      <c r="BW145" s="107"/>
      <c r="BX145" s="107"/>
      <c r="BY145" s="107"/>
      <c r="BZ145" s="107"/>
      <c r="CA145" s="107"/>
      <c r="CB145" s="107"/>
      <c r="CC145" s="107"/>
      <c r="CD145" s="107"/>
      <c r="CE145" s="107"/>
      <c r="CF145" s="107"/>
      <c r="CG145" s="107"/>
      <c r="CH145" s="107"/>
      <c r="CI145" s="107"/>
      <c r="CJ145" s="107"/>
      <c r="CK145" s="107"/>
      <c r="CL145" s="107"/>
      <c r="CM145" s="107"/>
      <c r="CN145" s="107"/>
      <c r="CO145" s="107"/>
      <c r="CP145" s="107"/>
      <c r="CQ145" s="107"/>
      <c r="CR145" s="107"/>
      <c r="CS145" s="107"/>
      <c r="CT145" s="107"/>
      <c r="CU145" s="107"/>
    </row>
    <row r="146" spans="1:99" s="105" customFormat="1">
      <c r="A146" s="104"/>
      <c r="B146" s="108"/>
      <c r="C146" s="106"/>
      <c r="E146" s="105" t="s">
        <v>1</v>
      </c>
      <c r="G146" s="105">
        <f>TRUNC(SUM(G145:G145),2)</f>
        <v>23.11</v>
      </c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7"/>
      <c r="AV146" s="107"/>
      <c r="AW146" s="107"/>
      <c r="AX146" s="107"/>
      <c r="AY146" s="107"/>
      <c r="AZ146" s="107"/>
      <c r="BA146" s="107"/>
      <c r="BB146" s="107"/>
      <c r="BC146" s="107"/>
      <c r="BD146" s="107"/>
      <c r="BE146" s="107"/>
      <c r="BF146" s="107"/>
      <c r="BG146" s="107"/>
      <c r="BH146" s="107"/>
      <c r="BI146" s="107"/>
      <c r="BJ146" s="107"/>
      <c r="BK146" s="107"/>
      <c r="BL146" s="107"/>
      <c r="BM146" s="107"/>
      <c r="BN146" s="107"/>
      <c r="BO146" s="107"/>
      <c r="BP146" s="107"/>
      <c r="BQ146" s="107"/>
      <c r="BR146" s="107"/>
      <c r="BS146" s="107"/>
      <c r="BT146" s="107"/>
      <c r="BU146" s="107"/>
      <c r="BV146" s="107"/>
      <c r="BW146" s="107"/>
      <c r="BX146" s="107"/>
      <c r="BY146" s="107"/>
      <c r="BZ146" s="107"/>
      <c r="CA146" s="107"/>
      <c r="CB146" s="107"/>
      <c r="CC146" s="107"/>
      <c r="CD146" s="107"/>
      <c r="CE146" s="107"/>
      <c r="CF146" s="107"/>
      <c r="CG146" s="107"/>
      <c r="CH146" s="107"/>
      <c r="CI146" s="107"/>
      <c r="CJ146" s="107"/>
      <c r="CK146" s="107"/>
      <c r="CL146" s="107"/>
      <c r="CM146" s="107"/>
      <c r="CN146" s="107"/>
      <c r="CO146" s="107"/>
      <c r="CP146" s="107"/>
      <c r="CQ146" s="107"/>
      <c r="CR146" s="107"/>
      <c r="CS146" s="107"/>
      <c r="CT146" s="107"/>
      <c r="CU146" s="107"/>
    </row>
    <row r="147" spans="1:99" s="110" customFormat="1" ht="45">
      <c r="A147" s="109" t="s">
        <v>182</v>
      </c>
      <c r="B147" s="118" t="s">
        <v>290</v>
      </c>
      <c r="C147" s="111" t="s">
        <v>186</v>
      </c>
      <c r="D147" s="110" t="s">
        <v>3</v>
      </c>
      <c r="E147" s="110">
        <v>5</v>
      </c>
      <c r="F147" s="110">
        <f>TRUNC(G150,2)</f>
        <v>248.4</v>
      </c>
      <c r="G147" s="110">
        <f>TRUNC(F147*1.2882,2)</f>
        <v>319.98</v>
      </c>
      <c r="H147" s="110">
        <f>TRUNC((E147*F147),2)</f>
        <v>1242</v>
      </c>
      <c r="I147" s="110">
        <f>TRUNC((E147*G147),2)</f>
        <v>1599.9</v>
      </c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/>
      <c r="AQ147" s="112"/>
      <c r="AR147" s="112"/>
      <c r="AS147" s="112"/>
      <c r="AT147" s="112"/>
      <c r="AU147" s="112"/>
      <c r="AV147" s="112"/>
      <c r="AW147" s="112"/>
      <c r="AX147" s="112"/>
      <c r="AY147" s="112"/>
      <c r="AZ147" s="112"/>
      <c r="BA147" s="112"/>
      <c r="BB147" s="112"/>
      <c r="BC147" s="112"/>
      <c r="BD147" s="112"/>
      <c r="BE147" s="112"/>
      <c r="BF147" s="112"/>
      <c r="BG147" s="112"/>
      <c r="BH147" s="112"/>
      <c r="BI147" s="112"/>
      <c r="BJ147" s="112"/>
      <c r="BK147" s="112"/>
      <c r="BL147" s="112"/>
      <c r="BM147" s="112"/>
      <c r="BN147" s="112"/>
      <c r="BO147" s="112"/>
      <c r="BP147" s="112"/>
      <c r="BQ147" s="112"/>
      <c r="BR147" s="112"/>
      <c r="BS147" s="112"/>
      <c r="BT147" s="112"/>
      <c r="BU147" s="112"/>
      <c r="BV147" s="112"/>
      <c r="BW147" s="112"/>
      <c r="BX147" s="112"/>
      <c r="BY147" s="112"/>
      <c r="BZ147" s="112"/>
      <c r="CA147" s="112"/>
      <c r="CB147" s="112"/>
      <c r="CC147" s="112"/>
      <c r="CD147" s="112"/>
      <c r="CE147" s="112"/>
      <c r="CF147" s="112"/>
      <c r="CG147" s="112"/>
      <c r="CH147" s="112"/>
      <c r="CI147" s="112"/>
      <c r="CJ147" s="112"/>
      <c r="CK147" s="112"/>
      <c r="CL147" s="112"/>
      <c r="CM147" s="112"/>
      <c r="CN147" s="112"/>
      <c r="CO147" s="112"/>
      <c r="CP147" s="112"/>
      <c r="CQ147" s="112"/>
      <c r="CR147" s="112"/>
      <c r="CS147" s="112"/>
      <c r="CT147" s="112"/>
      <c r="CU147" s="112"/>
    </row>
    <row r="148" spans="1:99" s="105" customFormat="1">
      <c r="A148" s="104"/>
      <c r="B148" s="108" t="s">
        <v>221</v>
      </c>
      <c r="C148" s="106" t="s">
        <v>222</v>
      </c>
      <c r="D148" s="105" t="s">
        <v>0</v>
      </c>
      <c r="E148" s="105">
        <v>0.61799999999999999</v>
      </c>
      <c r="F148" s="105">
        <f>TRUNC(13.6,2)</f>
        <v>13.6</v>
      </c>
      <c r="G148" s="105">
        <f>TRUNC(E148*F148,2)</f>
        <v>8.4</v>
      </c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7"/>
      <c r="AV148" s="107"/>
      <c r="AW148" s="107"/>
      <c r="AX148" s="107"/>
      <c r="AY148" s="107"/>
      <c r="AZ148" s="107"/>
      <c r="BA148" s="107"/>
      <c r="BB148" s="107"/>
      <c r="BC148" s="107"/>
      <c r="BD148" s="107"/>
      <c r="BE148" s="107"/>
      <c r="BF148" s="107"/>
      <c r="BG148" s="107"/>
      <c r="BH148" s="107"/>
      <c r="BI148" s="107"/>
      <c r="BJ148" s="107"/>
      <c r="BK148" s="107"/>
      <c r="BL148" s="107"/>
      <c r="BM148" s="107"/>
      <c r="BN148" s="107"/>
      <c r="BO148" s="107"/>
      <c r="BP148" s="107"/>
      <c r="BQ148" s="107"/>
      <c r="BR148" s="107"/>
      <c r="BS148" s="107"/>
      <c r="BT148" s="107"/>
      <c r="BU148" s="107"/>
      <c r="BV148" s="107"/>
      <c r="BW148" s="107"/>
      <c r="BX148" s="107"/>
      <c r="BY148" s="107"/>
      <c r="BZ148" s="107"/>
      <c r="CA148" s="107"/>
      <c r="CB148" s="107"/>
      <c r="CC148" s="107"/>
      <c r="CD148" s="107"/>
      <c r="CE148" s="107"/>
      <c r="CF148" s="107"/>
      <c r="CG148" s="107"/>
      <c r="CH148" s="107"/>
      <c r="CI148" s="107"/>
      <c r="CJ148" s="107"/>
      <c r="CK148" s="107"/>
      <c r="CL148" s="107"/>
      <c r="CM148" s="107"/>
      <c r="CN148" s="107"/>
      <c r="CO148" s="107"/>
      <c r="CP148" s="107"/>
      <c r="CQ148" s="107"/>
      <c r="CR148" s="107"/>
      <c r="CS148" s="107"/>
      <c r="CT148" s="107"/>
      <c r="CU148" s="107"/>
    </row>
    <row r="149" spans="1:99" s="105" customFormat="1" ht="30">
      <c r="A149" s="104"/>
      <c r="B149" s="108" t="s">
        <v>187</v>
      </c>
      <c r="C149" s="106" t="s">
        <v>188</v>
      </c>
      <c r="D149" s="105" t="s">
        <v>3</v>
      </c>
      <c r="E149" s="105">
        <v>1</v>
      </c>
      <c r="F149" s="105">
        <f>TRUNC(240,2)</f>
        <v>240</v>
      </c>
      <c r="G149" s="105">
        <f>TRUNC(E149*F149,2)</f>
        <v>240</v>
      </c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7"/>
      <c r="AV149" s="107"/>
      <c r="AW149" s="107"/>
      <c r="AX149" s="107"/>
      <c r="AY149" s="107"/>
      <c r="AZ149" s="107"/>
      <c r="BA149" s="107"/>
      <c r="BB149" s="107"/>
      <c r="BC149" s="107"/>
      <c r="BD149" s="107"/>
      <c r="BE149" s="107"/>
      <c r="BF149" s="107"/>
      <c r="BG149" s="107"/>
      <c r="BH149" s="107"/>
      <c r="BI149" s="107"/>
      <c r="BJ149" s="107"/>
      <c r="BK149" s="107"/>
      <c r="BL149" s="107"/>
      <c r="BM149" s="107"/>
      <c r="BN149" s="107"/>
      <c r="BO149" s="107"/>
      <c r="BP149" s="107"/>
      <c r="BQ149" s="107"/>
      <c r="BR149" s="107"/>
      <c r="BS149" s="107"/>
      <c r="BT149" s="107"/>
      <c r="BU149" s="107"/>
      <c r="BV149" s="107"/>
      <c r="BW149" s="107"/>
      <c r="BX149" s="107"/>
      <c r="BY149" s="107"/>
      <c r="BZ149" s="107"/>
      <c r="CA149" s="107"/>
      <c r="CB149" s="107"/>
      <c r="CC149" s="107"/>
      <c r="CD149" s="107"/>
      <c r="CE149" s="107"/>
      <c r="CF149" s="107"/>
      <c r="CG149" s="107"/>
      <c r="CH149" s="107"/>
      <c r="CI149" s="107"/>
      <c r="CJ149" s="107"/>
      <c r="CK149" s="107"/>
      <c r="CL149" s="107"/>
      <c r="CM149" s="107"/>
      <c r="CN149" s="107"/>
      <c r="CO149" s="107"/>
      <c r="CP149" s="107"/>
      <c r="CQ149" s="107"/>
      <c r="CR149" s="107"/>
      <c r="CS149" s="107"/>
      <c r="CT149" s="107"/>
      <c r="CU149" s="107"/>
    </row>
    <row r="150" spans="1:99" s="105" customFormat="1">
      <c r="A150" s="104"/>
      <c r="B150" s="108"/>
      <c r="C150" s="106"/>
      <c r="E150" s="105" t="s">
        <v>1</v>
      </c>
      <c r="G150" s="105">
        <f>TRUNC(SUM(G148:G149),2)</f>
        <v>248.4</v>
      </c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7"/>
      <c r="AV150" s="107"/>
      <c r="AW150" s="107"/>
      <c r="AX150" s="107"/>
      <c r="AY150" s="107"/>
      <c r="AZ150" s="107"/>
      <c r="BA150" s="107"/>
      <c r="BB150" s="107"/>
      <c r="BC150" s="107"/>
      <c r="BD150" s="107"/>
      <c r="BE150" s="107"/>
      <c r="BF150" s="107"/>
      <c r="BG150" s="107"/>
      <c r="BH150" s="107"/>
      <c r="BI150" s="107"/>
      <c r="BJ150" s="107"/>
      <c r="BK150" s="107"/>
      <c r="BL150" s="107"/>
      <c r="BM150" s="107"/>
      <c r="BN150" s="107"/>
      <c r="BO150" s="107"/>
      <c r="BP150" s="107"/>
      <c r="BQ150" s="107"/>
      <c r="BR150" s="107"/>
      <c r="BS150" s="107"/>
      <c r="BT150" s="107"/>
      <c r="BU150" s="107"/>
      <c r="BV150" s="107"/>
      <c r="BW150" s="107"/>
      <c r="BX150" s="107"/>
      <c r="BY150" s="107"/>
      <c r="BZ150" s="107"/>
      <c r="CA150" s="107"/>
      <c r="CB150" s="107"/>
      <c r="CC150" s="107"/>
      <c r="CD150" s="107"/>
      <c r="CE150" s="107"/>
      <c r="CF150" s="107"/>
      <c r="CG150" s="107"/>
      <c r="CH150" s="107"/>
      <c r="CI150" s="107"/>
      <c r="CJ150" s="107"/>
      <c r="CK150" s="107"/>
      <c r="CL150" s="107"/>
      <c r="CM150" s="107"/>
      <c r="CN150" s="107"/>
      <c r="CO150" s="107"/>
      <c r="CP150" s="107"/>
      <c r="CQ150" s="107"/>
      <c r="CR150" s="107"/>
      <c r="CS150" s="107"/>
      <c r="CT150" s="107"/>
      <c r="CU150" s="107"/>
    </row>
    <row r="151" spans="1:99" s="76" customFormat="1">
      <c r="A151" s="92" t="s">
        <v>24</v>
      </c>
      <c r="C151" s="93"/>
      <c r="D151" s="76" t="s">
        <v>63</v>
      </c>
      <c r="H151" s="76">
        <f>SUM(H144:H147)</f>
        <v>1819.75</v>
      </c>
      <c r="I151" s="76">
        <f>SUM(I144:I147)</f>
        <v>2344.15</v>
      </c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75"/>
      <c r="BT151" s="75"/>
      <c r="BU151" s="75"/>
      <c r="BV151" s="75"/>
      <c r="BW151" s="75"/>
      <c r="BX151" s="75"/>
      <c r="BY151" s="75"/>
      <c r="BZ151" s="75"/>
      <c r="CA151" s="75"/>
      <c r="CB151" s="75"/>
      <c r="CC151" s="75"/>
      <c r="CD151" s="75"/>
      <c r="CE151" s="75"/>
      <c r="CF151" s="75"/>
      <c r="CG151" s="75"/>
      <c r="CH151" s="75"/>
      <c r="CI151" s="75"/>
      <c r="CJ151" s="75"/>
      <c r="CK151" s="75"/>
      <c r="CL151" s="75"/>
      <c r="CM151" s="75"/>
      <c r="CN151" s="75"/>
      <c r="CO151" s="75"/>
      <c r="CP151" s="75"/>
      <c r="CQ151" s="75"/>
      <c r="CR151" s="75"/>
      <c r="CS151" s="75"/>
      <c r="CT151" s="75"/>
      <c r="CU151" s="75"/>
    </row>
    <row r="152" spans="1:99" s="76" customFormat="1">
      <c r="A152" s="92" t="s">
        <v>24</v>
      </c>
      <c r="C152" s="93"/>
      <c r="D152" s="76" t="s">
        <v>25</v>
      </c>
      <c r="H152" s="76">
        <f>H43+H62+H77+H97+H106+H142+H151</f>
        <v>35186.559999999998</v>
      </c>
      <c r="I152" s="76">
        <f>I43+I62+I77+I97+I106+I142+I151</f>
        <v>45325.45</v>
      </c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  <c r="BU152" s="75"/>
      <c r="BV152" s="75"/>
      <c r="BW152" s="75"/>
      <c r="BX152" s="75"/>
      <c r="BY152" s="75"/>
      <c r="BZ152" s="75"/>
      <c r="CA152" s="75"/>
      <c r="CB152" s="75"/>
      <c r="CC152" s="75"/>
      <c r="CD152" s="75"/>
      <c r="CE152" s="75"/>
      <c r="CF152" s="75"/>
      <c r="CG152" s="75"/>
      <c r="CH152" s="75"/>
      <c r="CI152" s="75"/>
      <c r="CJ152" s="75"/>
      <c r="CK152" s="75"/>
      <c r="CL152" s="75"/>
      <c r="CM152" s="75"/>
      <c r="CN152" s="75"/>
      <c r="CO152" s="75"/>
      <c r="CP152" s="75"/>
      <c r="CQ152" s="75"/>
      <c r="CR152" s="75"/>
      <c r="CS152" s="75"/>
      <c r="CT152" s="75"/>
      <c r="CU152" s="75"/>
    </row>
    <row r="155" spans="1:99" ht="30">
      <c r="B155" s="120" t="s">
        <v>313</v>
      </c>
      <c r="C155" s="1" t="s">
        <v>314</v>
      </c>
      <c r="D155" t="s">
        <v>66</v>
      </c>
      <c r="E155">
        <v>6</v>
      </c>
      <c r="F155">
        <f>TRUNC(191.29572,2)</f>
        <v>191.29</v>
      </c>
      <c r="G155" s="110">
        <f>TRUNC(F155*1.2882,2)</f>
        <v>246.41</v>
      </c>
      <c r="H155" s="110">
        <f>TRUNC((E155*F155),2)</f>
        <v>1147.74</v>
      </c>
      <c r="I155" s="110">
        <f>TRUNC((E155*G155),2)</f>
        <v>1478.46</v>
      </c>
    </row>
    <row r="156" spans="1:99">
      <c r="B156" s="120" t="s">
        <v>221</v>
      </c>
      <c r="C156" s="1" t="s">
        <v>222</v>
      </c>
      <c r="D156" t="s">
        <v>0</v>
      </c>
      <c r="E156">
        <v>12.36</v>
      </c>
      <c r="F156">
        <f>TRUNC(13.6,2)</f>
        <v>13.6</v>
      </c>
      <c r="G156">
        <f>TRUNC(E156*F156,2)</f>
        <v>168.09</v>
      </c>
    </row>
    <row r="157" spans="1:99">
      <c r="B157" s="120" t="s">
        <v>231</v>
      </c>
      <c r="C157" s="1" t="s">
        <v>232</v>
      </c>
      <c r="D157" t="s">
        <v>0</v>
      </c>
      <c r="E157">
        <v>1.236</v>
      </c>
      <c r="F157">
        <f>TRUNC(18.77,2)</f>
        <v>18.77</v>
      </c>
      <c r="G157">
        <f>TRUNC(E157*F157,2)</f>
        <v>23.19</v>
      </c>
    </row>
    <row r="158" spans="1:99">
      <c r="B158" s="120"/>
      <c r="E158" t="s">
        <v>1</v>
      </c>
      <c r="G158">
        <f>TRUNC(SUM(G156:G157),2)</f>
        <v>191.28</v>
      </c>
    </row>
    <row r="159" spans="1:99" ht="45">
      <c r="B159" s="110" t="s">
        <v>233</v>
      </c>
      <c r="C159" s="1" t="s">
        <v>70</v>
      </c>
      <c r="D159" t="s">
        <v>66</v>
      </c>
      <c r="E159">
        <v>6</v>
      </c>
      <c r="F159">
        <f>TRUNC(264.86656,2)</f>
        <v>264.86</v>
      </c>
      <c r="G159" s="110">
        <f>TRUNC(F159*1.2882,2)</f>
        <v>341.19</v>
      </c>
      <c r="H159" s="110">
        <f>TRUNC((E159*F159),2)</f>
        <v>1589.16</v>
      </c>
      <c r="I159" s="110">
        <f>TRUNC((E159*G159),2)</f>
        <v>2047.14</v>
      </c>
    </row>
    <row r="160" spans="1:99">
      <c r="B160" s="110" t="s">
        <v>221</v>
      </c>
      <c r="C160" s="1" t="s">
        <v>222</v>
      </c>
      <c r="D160" t="s">
        <v>0</v>
      </c>
      <c r="E160">
        <v>17.201000000000001</v>
      </c>
      <c r="F160">
        <f>TRUNC(13.6,2)</f>
        <v>13.6</v>
      </c>
      <c r="G160">
        <f>TRUNC(E160*F160,2)</f>
        <v>233.93</v>
      </c>
    </row>
    <row r="161" spans="2:99">
      <c r="B161" s="110" t="s">
        <v>231</v>
      </c>
      <c r="C161" s="1" t="s">
        <v>232</v>
      </c>
      <c r="D161" t="s">
        <v>0</v>
      </c>
      <c r="E161">
        <v>1.6480000000000001</v>
      </c>
      <c r="F161">
        <f>TRUNC(18.77,2)</f>
        <v>18.77</v>
      </c>
      <c r="G161">
        <f>TRUNC(E161*F161,2)</f>
        <v>30.93</v>
      </c>
    </row>
    <row r="162" spans="2:99">
      <c r="B162" s="110"/>
      <c r="E162" t="s">
        <v>1</v>
      </c>
      <c r="G162">
        <f>TRUNC(SUM(G160:G161),2)</f>
        <v>264.86</v>
      </c>
    </row>
    <row r="163" spans="2:99">
      <c r="B163" s="118"/>
    </row>
    <row r="169" spans="2:99" s="27" customFormat="1" ht="21.75" customHeight="1">
      <c r="B169"/>
      <c r="C169" s="1"/>
      <c r="D169"/>
      <c r="E169"/>
      <c r="F169"/>
      <c r="G169"/>
      <c r="H169"/>
      <c r="I169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</row>
  </sheetData>
  <mergeCells count="13">
    <mergeCell ref="D3:H3"/>
    <mergeCell ref="D4:H4"/>
    <mergeCell ref="D5:H5"/>
    <mergeCell ref="D6:H6"/>
    <mergeCell ref="D7:H7"/>
    <mergeCell ref="D8:H8"/>
    <mergeCell ref="A9:I9"/>
    <mergeCell ref="A10:A11"/>
    <mergeCell ref="B10:B11"/>
    <mergeCell ref="C10:C11"/>
    <mergeCell ref="D10:D11"/>
    <mergeCell ref="E10:E11"/>
    <mergeCell ref="F10:I10"/>
  </mergeCells>
  <pageMargins left="0.51181102362204722" right="0.51181102362204722" top="0.78740157480314965" bottom="0.78740157480314965" header="0.31496062992125984" footer="0.31496062992125984"/>
  <pageSetup paperSize="9" scale="46" fitToHeight="1000" orientation="landscape" horizontalDpi="4294967293" r:id="rId1"/>
  <headerFooter>
    <oddFooter>&amp;C&amp;A&amp;RPágina &amp;P de &amp;N</oddFooter>
  </headerFooter>
  <rowBreaks count="2" manualBreakCount="2">
    <brk id="47" max="8" man="1"/>
    <brk id="106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U46"/>
  <sheetViews>
    <sheetView tabSelected="1" view="pageBreakPreview" topLeftCell="A16" zoomScale="70" zoomScaleNormal="100" zoomScaleSheetLayoutView="70" workbookViewId="0">
      <selection activeCell="C13" sqref="C13"/>
    </sheetView>
  </sheetViews>
  <sheetFormatPr defaultRowHeight="15"/>
  <cols>
    <col min="1" max="1" width="9.140625" style="27" customWidth="1"/>
    <col min="2" max="2" width="23.7109375" customWidth="1"/>
    <col min="3" max="3" width="104" style="1" customWidth="1"/>
    <col min="4" max="4" width="17.28515625" bestFit="1" customWidth="1"/>
    <col min="5" max="5" width="10" bestFit="1" customWidth="1"/>
    <col min="6" max="6" width="14.5703125" bestFit="1" customWidth="1"/>
    <col min="7" max="7" width="14.28515625" bestFit="1" customWidth="1"/>
    <col min="8" max="8" width="16.28515625" bestFit="1" customWidth="1"/>
    <col min="9" max="9" width="16.42578125" bestFit="1" customWidth="1"/>
    <col min="10" max="10" width="9.140625" style="28" customWidth="1"/>
    <col min="11" max="12" width="9.85546875" style="28" bestFit="1" customWidth="1"/>
    <col min="13" max="99" width="9.140625" style="28" customWidth="1"/>
  </cols>
  <sheetData>
    <row r="1" spans="1:99" ht="15.75">
      <c r="A1" s="2"/>
      <c r="B1" s="3"/>
      <c r="C1" s="4" t="s">
        <v>5</v>
      </c>
      <c r="D1" s="5"/>
      <c r="E1" s="6"/>
      <c r="F1" s="7"/>
      <c r="G1" s="7"/>
      <c r="H1" s="7"/>
      <c r="I1" s="65"/>
    </row>
    <row r="2" spans="1:99" ht="15.75">
      <c r="A2" s="8"/>
      <c r="B2" s="9"/>
      <c r="C2" s="10" t="s">
        <v>6</v>
      </c>
      <c r="D2" s="11"/>
      <c r="E2" s="12"/>
      <c r="F2" s="13"/>
      <c r="G2" s="13"/>
      <c r="H2" s="13"/>
      <c r="I2" s="66"/>
    </row>
    <row r="3" spans="1:99" ht="15.75">
      <c r="A3" s="8"/>
      <c r="B3" s="9"/>
      <c r="C3" s="10" t="s">
        <v>34</v>
      </c>
      <c r="D3" s="139"/>
      <c r="E3" s="140"/>
      <c r="F3" s="140"/>
      <c r="G3" s="140"/>
      <c r="H3" s="140"/>
      <c r="I3" s="60"/>
    </row>
    <row r="4" spans="1:99" ht="15.75" customHeight="1">
      <c r="A4" s="8"/>
      <c r="B4" s="9"/>
      <c r="C4" s="14" t="s">
        <v>38</v>
      </c>
      <c r="D4" s="141" t="s">
        <v>297</v>
      </c>
      <c r="E4" s="142"/>
      <c r="F4" s="142"/>
      <c r="G4" s="142"/>
      <c r="H4" s="142"/>
      <c r="I4" s="61"/>
    </row>
    <row r="5" spans="1:99" ht="15.75" customHeight="1">
      <c r="A5" s="8"/>
      <c r="B5" s="9"/>
      <c r="C5" s="25" t="s">
        <v>189</v>
      </c>
      <c r="D5" s="143" t="s">
        <v>298</v>
      </c>
      <c r="E5" s="144"/>
      <c r="F5" s="144"/>
      <c r="G5" s="144"/>
      <c r="H5" s="144"/>
      <c r="I5" s="62"/>
    </row>
    <row r="6" spans="1:99" ht="15.75">
      <c r="A6" s="8"/>
      <c r="B6" s="9"/>
      <c r="C6" s="15" t="s">
        <v>291</v>
      </c>
      <c r="D6" s="145" t="s">
        <v>296</v>
      </c>
      <c r="E6" s="146"/>
      <c r="F6" s="146"/>
      <c r="G6" s="146"/>
      <c r="H6" s="146"/>
      <c r="I6" s="63"/>
    </row>
    <row r="7" spans="1:99" ht="15.75">
      <c r="A7" s="8"/>
      <c r="B7" s="9"/>
      <c r="C7" s="26"/>
      <c r="D7" s="145" t="s">
        <v>316</v>
      </c>
      <c r="E7" s="146"/>
      <c r="F7" s="146"/>
      <c r="G7" s="146"/>
      <c r="H7" s="146"/>
      <c r="I7" s="63"/>
    </row>
    <row r="8" spans="1:99" ht="15.75">
      <c r="A8" s="16"/>
      <c r="B8" s="17"/>
      <c r="C8" s="18"/>
      <c r="D8" s="147"/>
      <c r="E8" s="148"/>
      <c r="F8" s="148"/>
      <c r="G8" s="148"/>
      <c r="H8" s="148"/>
      <c r="I8" s="64"/>
    </row>
    <row r="9" spans="1:99" ht="15" customHeight="1">
      <c r="A9" s="127" t="s">
        <v>300</v>
      </c>
      <c r="B9" s="128"/>
      <c r="C9" s="128"/>
      <c r="D9" s="128"/>
      <c r="E9" s="128"/>
      <c r="F9" s="128"/>
      <c r="G9" s="128"/>
      <c r="H9" s="128"/>
      <c r="I9" s="128"/>
    </row>
    <row r="10" spans="1:99" ht="15.75">
      <c r="A10" s="129" t="s">
        <v>7</v>
      </c>
      <c r="B10" s="131" t="s">
        <v>8</v>
      </c>
      <c r="C10" s="133" t="s">
        <v>9</v>
      </c>
      <c r="D10" s="129" t="s">
        <v>3</v>
      </c>
      <c r="E10" s="134" t="s">
        <v>10</v>
      </c>
      <c r="F10" s="136" t="s">
        <v>11</v>
      </c>
      <c r="G10" s="137"/>
      <c r="H10" s="137"/>
      <c r="I10" s="138"/>
    </row>
    <row r="11" spans="1:99" ht="15.75">
      <c r="A11" s="130"/>
      <c r="B11" s="132"/>
      <c r="C11" s="131"/>
      <c r="D11" s="130"/>
      <c r="E11" s="135"/>
      <c r="F11" s="95" t="s">
        <v>212</v>
      </c>
      <c r="G11" s="68" t="s">
        <v>191</v>
      </c>
      <c r="H11" s="69" t="s">
        <v>213</v>
      </c>
      <c r="I11" s="94" t="s">
        <v>192</v>
      </c>
    </row>
    <row r="12" spans="1:99" s="91" customFormat="1" ht="15.75">
      <c r="A12" s="84" t="s">
        <v>4</v>
      </c>
      <c r="B12" s="85"/>
      <c r="C12" s="86" t="s">
        <v>35</v>
      </c>
      <c r="D12" s="85"/>
      <c r="E12" s="85"/>
      <c r="F12" s="85"/>
      <c r="G12" s="87"/>
      <c r="H12" s="88"/>
      <c r="I12" s="121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</row>
    <row r="13" spans="1:99" s="110" customFormat="1" ht="30">
      <c r="A13" s="122" t="s">
        <v>2</v>
      </c>
      <c r="B13" s="123" t="s">
        <v>220</v>
      </c>
      <c r="C13" s="124" t="s">
        <v>40</v>
      </c>
      <c r="D13" s="123" t="s">
        <v>27</v>
      </c>
      <c r="E13" s="123">
        <v>6</v>
      </c>
      <c r="F13" s="123">
        <f>TRUNC(DESONERADO!F13,2)</f>
        <v>341.34</v>
      </c>
      <c r="G13" s="123">
        <f t="shared" ref="G13:G19" si="0">TRUNC(F13*1.2882,2)</f>
        <v>439.71</v>
      </c>
      <c r="H13" s="123">
        <f t="shared" ref="H13:H19" si="1">TRUNC((E13*F13),2)</f>
        <v>2048.04</v>
      </c>
      <c r="I13" s="125">
        <f t="shared" ref="I13:I19" si="2">TRUNC((E13*G13),2)</f>
        <v>2638.26</v>
      </c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</row>
    <row r="14" spans="1:99" s="110" customFormat="1" ht="30">
      <c r="A14" s="122" t="s">
        <v>33</v>
      </c>
      <c r="B14" s="123" t="s">
        <v>229</v>
      </c>
      <c r="C14" s="124" t="s">
        <v>59</v>
      </c>
      <c r="D14" s="123" t="s">
        <v>27</v>
      </c>
      <c r="E14" s="123">
        <v>2.42</v>
      </c>
      <c r="F14" s="123">
        <f>TRUNC(DESONERADO!F23,2)</f>
        <v>14</v>
      </c>
      <c r="G14" s="123">
        <f t="shared" si="0"/>
        <v>18.03</v>
      </c>
      <c r="H14" s="123">
        <f t="shared" si="1"/>
        <v>33.880000000000003</v>
      </c>
      <c r="I14" s="125">
        <f t="shared" si="2"/>
        <v>43.63</v>
      </c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</row>
    <row r="15" spans="1:99" s="110" customFormat="1" ht="30">
      <c r="A15" s="122" t="s">
        <v>36</v>
      </c>
      <c r="B15" s="123" t="s">
        <v>230</v>
      </c>
      <c r="C15" s="124" t="s">
        <v>65</v>
      </c>
      <c r="D15" s="123" t="s">
        <v>66</v>
      </c>
      <c r="E15" s="123">
        <v>6</v>
      </c>
      <c r="F15" s="123">
        <f>TRUNC(DESONERADO!F26,2)</f>
        <v>71.72</v>
      </c>
      <c r="G15" s="123">
        <f t="shared" si="0"/>
        <v>92.38</v>
      </c>
      <c r="H15" s="123">
        <f t="shared" si="1"/>
        <v>430.32</v>
      </c>
      <c r="I15" s="125">
        <f t="shared" si="2"/>
        <v>554.28</v>
      </c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</row>
    <row r="16" spans="1:99" s="110" customFormat="1" ht="45">
      <c r="A16" s="122" t="s">
        <v>37</v>
      </c>
      <c r="B16" s="123" t="s">
        <v>233</v>
      </c>
      <c r="C16" s="124" t="s">
        <v>70</v>
      </c>
      <c r="D16" s="123" t="s">
        <v>66</v>
      </c>
      <c r="E16" s="123">
        <v>1.7</v>
      </c>
      <c r="F16" s="123">
        <f>TRUNC(DESONERADO!F30,2)</f>
        <v>264.86</v>
      </c>
      <c r="G16" s="123">
        <f t="shared" si="0"/>
        <v>341.19</v>
      </c>
      <c r="H16" s="123">
        <f t="shared" si="1"/>
        <v>450.26</v>
      </c>
      <c r="I16" s="125">
        <f t="shared" si="2"/>
        <v>580.02</v>
      </c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</row>
    <row r="17" spans="1:99" s="110" customFormat="1" ht="45">
      <c r="A17" s="122" t="s">
        <v>60</v>
      </c>
      <c r="B17" s="123" t="s">
        <v>234</v>
      </c>
      <c r="C17" s="124" t="s">
        <v>72</v>
      </c>
      <c r="D17" s="123" t="s">
        <v>27</v>
      </c>
      <c r="E17" s="123">
        <v>12</v>
      </c>
      <c r="F17" s="123">
        <f>TRUNC(DESONERADO!F34,2)</f>
        <v>9.8000000000000007</v>
      </c>
      <c r="G17" s="123">
        <f t="shared" si="0"/>
        <v>12.62</v>
      </c>
      <c r="H17" s="123">
        <f t="shared" si="1"/>
        <v>117.6</v>
      </c>
      <c r="I17" s="125">
        <f t="shared" si="2"/>
        <v>151.44</v>
      </c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</row>
    <row r="18" spans="1:99" s="110" customFormat="1">
      <c r="A18" s="122" t="s">
        <v>198</v>
      </c>
      <c r="B18" s="123" t="s">
        <v>235</v>
      </c>
      <c r="C18" s="124" t="s">
        <v>200</v>
      </c>
      <c r="D18" s="123" t="s">
        <v>46</v>
      </c>
      <c r="E18" s="123">
        <v>7</v>
      </c>
      <c r="F18" s="123">
        <f>TRUNC(DESONERADO!F37,2)</f>
        <v>13.3</v>
      </c>
      <c r="G18" s="123">
        <f t="shared" si="0"/>
        <v>17.13</v>
      </c>
      <c r="H18" s="123">
        <f t="shared" si="1"/>
        <v>93.1</v>
      </c>
      <c r="I18" s="125">
        <f t="shared" si="2"/>
        <v>119.91</v>
      </c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</row>
    <row r="19" spans="1:99" s="110" customFormat="1">
      <c r="A19" s="122" t="s">
        <v>206</v>
      </c>
      <c r="B19" s="123" t="s">
        <v>236</v>
      </c>
      <c r="C19" s="124" t="s">
        <v>205</v>
      </c>
      <c r="D19" s="123" t="s">
        <v>46</v>
      </c>
      <c r="E19" s="123">
        <v>2</v>
      </c>
      <c r="F19" s="123">
        <f>TRUNC(DESONERADO!F40,2)</f>
        <v>16.100000000000001</v>
      </c>
      <c r="G19" s="123">
        <f t="shared" si="0"/>
        <v>20.74</v>
      </c>
      <c r="H19" s="123">
        <f t="shared" si="1"/>
        <v>32.200000000000003</v>
      </c>
      <c r="I19" s="125">
        <f t="shared" si="2"/>
        <v>41.48</v>
      </c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</row>
    <row r="20" spans="1:99" s="76" customFormat="1">
      <c r="A20" s="92" t="s">
        <v>62</v>
      </c>
      <c r="C20" s="93"/>
      <c r="F20" s="76" t="s">
        <v>63</v>
      </c>
      <c r="H20" s="76">
        <f>SUM(H13:H19)</f>
        <v>3205.3999999999996</v>
      </c>
      <c r="I20" s="76">
        <f>SUM(I13:I19)</f>
        <v>4129.0199999999995</v>
      </c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</row>
    <row r="21" spans="1:99" s="91" customFormat="1" ht="15.75">
      <c r="A21" s="84" t="s">
        <v>61</v>
      </c>
      <c r="B21" s="85"/>
      <c r="C21" s="86" t="s">
        <v>193</v>
      </c>
      <c r="D21" s="85"/>
      <c r="E21" s="85"/>
      <c r="F21" s="85"/>
      <c r="G21" s="87"/>
      <c r="H21" s="88"/>
      <c r="I21" s="121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</row>
    <row r="22" spans="1:99" s="110" customFormat="1" ht="73.5" customHeight="1">
      <c r="A22" s="122" t="s">
        <v>73</v>
      </c>
      <c r="B22" s="126" t="s">
        <v>247</v>
      </c>
      <c r="C22" s="124" t="s">
        <v>75</v>
      </c>
      <c r="D22" s="123" t="s">
        <v>66</v>
      </c>
      <c r="E22" s="123">
        <v>1.1000000000000001</v>
      </c>
      <c r="F22" s="123">
        <f>TRUNC(DESONERADO!F45,2)</f>
        <v>2117.3000000000002</v>
      </c>
      <c r="G22" s="123">
        <f>TRUNC(F22*1.2882,2)</f>
        <v>2727.5</v>
      </c>
      <c r="H22" s="123">
        <f>TRUNC((E22*F22),2)</f>
        <v>2329.0300000000002</v>
      </c>
      <c r="I22" s="125">
        <f>TRUNC((E22*G22),2)</f>
        <v>3000.25</v>
      </c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</row>
    <row r="23" spans="1:99" s="76" customFormat="1">
      <c r="A23" s="92" t="s">
        <v>62</v>
      </c>
      <c r="C23" s="93"/>
      <c r="F23" s="76" t="s">
        <v>63</v>
      </c>
      <c r="H23" s="76">
        <f>SUM(H22)</f>
        <v>2329.0300000000002</v>
      </c>
      <c r="I23" s="76">
        <f>SUM(I22)</f>
        <v>3000.25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</row>
    <row r="24" spans="1:99" s="91" customFormat="1" ht="15.75">
      <c r="A24" s="84" t="s">
        <v>74</v>
      </c>
      <c r="B24" s="85"/>
      <c r="C24" s="86" t="s">
        <v>194</v>
      </c>
      <c r="D24" s="85"/>
      <c r="E24" s="85"/>
      <c r="F24" s="85"/>
      <c r="G24" s="87"/>
      <c r="H24" s="88"/>
      <c r="I24" s="121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</row>
    <row r="25" spans="1:99" s="110" customFormat="1" ht="60">
      <c r="A25" s="122" t="s">
        <v>103</v>
      </c>
      <c r="B25" s="126" t="s">
        <v>248</v>
      </c>
      <c r="C25" s="124" t="s">
        <v>106</v>
      </c>
      <c r="D25" s="123" t="s">
        <v>27</v>
      </c>
      <c r="E25" s="123">
        <v>7.5</v>
      </c>
      <c r="F25" s="123">
        <f>TRUNC(DESONERADO!F64,2)</f>
        <v>43.26</v>
      </c>
      <c r="G25" s="123">
        <f>TRUNC(F25*1.2882,2)</f>
        <v>55.72</v>
      </c>
      <c r="H25" s="123">
        <f>TRUNC((E25*F25),2)</f>
        <v>324.45</v>
      </c>
      <c r="I25" s="125">
        <f>TRUNC((E25*G25),2)</f>
        <v>417.9</v>
      </c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</row>
    <row r="26" spans="1:99" s="110" customFormat="1" ht="45">
      <c r="A26" s="109" t="s">
        <v>104</v>
      </c>
      <c r="B26" s="118" t="s">
        <v>251</v>
      </c>
      <c r="C26" s="111" t="s">
        <v>114</v>
      </c>
      <c r="D26" s="110" t="s">
        <v>27</v>
      </c>
      <c r="E26" s="110">
        <v>34</v>
      </c>
      <c r="F26" s="110">
        <f>TRUNC(DESONERADO!F71,2)</f>
        <v>27.41</v>
      </c>
      <c r="G26" s="110">
        <f>TRUNC(F26*1.2882,2)</f>
        <v>35.299999999999997</v>
      </c>
      <c r="H26" s="110">
        <f>TRUNC((E26*F26),2)</f>
        <v>931.94</v>
      </c>
      <c r="I26" s="110">
        <f>TRUNC((E26*G26),2)</f>
        <v>1200.2</v>
      </c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</row>
    <row r="27" spans="1:99" s="76" customFormat="1">
      <c r="A27" s="92" t="s">
        <v>62</v>
      </c>
      <c r="C27" s="93"/>
      <c r="F27" s="76" t="s">
        <v>63</v>
      </c>
      <c r="H27" s="76">
        <f>SUM(H25:H26)</f>
        <v>1256.3900000000001</v>
      </c>
      <c r="I27" s="76">
        <f>SUM(I25:I26)</f>
        <v>1618.1</v>
      </c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</row>
    <row r="28" spans="1:99" s="91" customFormat="1" ht="15.75">
      <c r="A28" s="84" t="s">
        <v>102</v>
      </c>
      <c r="B28" s="85"/>
      <c r="C28" s="86" t="s">
        <v>311</v>
      </c>
      <c r="D28" s="85"/>
      <c r="E28" s="85"/>
      <c r="F28" s="85"/>
      <c r="G28" s="87"/>
      <c r="H28" s="88"/>
      <c r="I28" s="121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</row>
    <row r="29" spans="1:99" s="110" customFormat="1" ht="155.25" customHeight="1">
      <c r="A29" s="122" t="s">
        <v>119</v>
      </c>
      <c r="B29" s="126" t="s">
        <v>292</v>
      </c>
      <c r="C29" s="124" t="s">
        <v>301</v>
      </c>
      <c r="D29" s="123" t="s">
        <v>27</v>
      </c>
      <c r="E29" s="123">
        <v>25.58</v>
      </c>
      <c r="F29" s="123">
        <f>TRUNC(DESONERADO!F79,2)</f>
        <v>362.72</v>
      </c>
      <c r="G29" s="123">
        <f>TRUNC(F29*1.2882,2)</f>
        <v>467.25</v>
      </c>
      <c r="H29" s="123">
        <f>TRUNC((E29*F29),2)</f>
        <v>9278.3700000000008</v>
      </c>
      <c r="I29" s="125">
        <f>TRUNC((E29*G29),2)</f>
        <v>11952.25</v>
      </c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</row>
    <row r="30" spans="1:99" s="110" customFormat="1" ht="153.75" customHeight="1">
      <c r="A30" s="122" t="s">
        <v>120</v>
      </c>
      <c r="B30" s="126" t="s">
        <v>292</v>
      </c>
      <c r="C30" s="124" t="s">
        <v>302</v>
      </c>
      <c r="D30" s="123" t="s">
        <v>27</v>
      </c>
      <c r="E30" s="123">
        <v>5.12</v>
      </c>
      <c r="F30" s="123">
        <f>TRUNC(DESONERADO!F88,2)</f>
        <v>990.02</v>
      </c>
      <c r="G30" s="123">
        <f>TRUNC(F30*1.2882,2)</f>
        <v>1275.3399999999999</v>
      </c>
      <c r="H30" s="123">
        <f>TRUNC((E30*F30),2)</f>
        <v>5068.8999999999996</v>
      </c>
      <c r="I30" s="125">
        <f>TRUNC((E30*G30),2)</f>
        <v>6529.74</v>
      </c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</row>
    <row r="31" spans="1:99" s="76" customFormat="1">
      <c r="A31" s="92" t="s">
        <v>24</v>
      </c>
      <c r="C31" s="93"/>
      <c r="D31" s="76" t="s">
        <v>63</v>
      </c>
      <c r="H31" s="76">
        <f>SUM(H29:H30)</f>
        <v>14347.27</v>
      </c>
      <c r="I31" s="76">
        <f>SUM(I29:I30)</f>
        <v>18481.989999999998</v>
      </c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</row>
    <row r="32" spans="1:99" s="91" customFormat="1" ht="15.75">
      <c r="A32" s="84" t="s">
        <v>121</v>
      </c>
      <c r="B32" s="85"/>
      <c r="C32" s="86" t="s">
        <v>195</v>
      </c>
      <c r="D32" s="85"/>
      <c r="E32" s="85"/>
      <c r="F32" s="85"/>
      <c r="G32" s="87"/>
      <c r="H32" s="88"/>
      <c r="I32" s="121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</row>
    <row r="33" spans="1:99" s="110" customFormat="1" ht="60">
      <c r="A33" s="122" t="s">
        <v>122</v>
      </c>
      <c r="B33" s="126" t="s">
        <v>258</v>
      </c>
      <c r="C33" s="124" t="s">
        <v>124</v>
      </c>
      <c r="D33" s="123" t="s">
        <v>27</v>
      </c>
      <c r="E33" s="123">
        <v>34</v>
      </c>
      <c r="F33" s="123">
        <f>TRUNC(DESONERADO!F99,2)</f>
        <v>14.82</v>
      </c>
      <c r="G33" s="123">
        <f>TRUNC(F33*1.2882,2)</f>
        <v>19.09</v>
      </c>
      <c r="H33" s="123">
        <f>TRUNC((E33*F33),2)</f>
        <v>503.88</v>
      </c>
      <c r="I33" s="125">
        <f>TRUNC((E33*G33),2)</f>
        <v>649.05999999999995</v>
      </c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</row>
    <row r="34" spans="1:99" s="76" customFormat="1">
      <c r="A34" s="92" t="s">
        <v>24</v>
      </c>
      <c r="C34" s="93"/>
      <c r="D34" s="76" t="s">
        <v>63</v>
      </c>
      <c r="H34" s="76">
        <f>SUM(H33)</f>
        <v>503.88</v>
      </c>
      <c r="I34" s="76">
        <f>SUM(I33)</f>
        <v>649.05999999999995</v>
      </c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</row>
    <row r="35" spans="1:99" s="91" customFormat="1" ht="15.75">
      <c r="A35" s="84" t="s">
        <v>133</v>
      </c>
      <c r="B35" s="85"/>
      <c r="C35" s="86" t="s">
        <v>309</v>
      </c>
      <c r="D35" s="85"/>
      <c r="E35" s="85"/>
      <c r="F35" s="85"/>
      <c r="G35" s="87"/>
      <c r="H35" s="88"/>
      <c r="I35" s="121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</row>
    <row r="36" spans="1:99" s="110" customFormat="1" ht="45">
      <c r="A36" s="122" t="s">
        <v>134</v>
      </c>
      <c r="B36" s="126" t="s">
        <v>234</v>
      </c>
      <c r="C36" s="124" t="s">
        <v>72</v>
      </c>
      <c r="D36" s="123" t="s">
        <v>27</v>
      </c>
      <c r="E36" s="123">
        <v>72</v>
      </c>
      <c r="F36" s="123">
        <f>TRUNC(DESONERADO!F108,2)</f>
        <v>9.8000000000000007</v>
      </c>
      <c r="G36" s="123">
        <f>TRUNC(F36*1.2882,2)</f>
        <v>12.62</v>
      </c>
      <c r="H36" s="123">
        <f>TRUNC((E36*F36),2)</f>
        <v>705.6</v>
      </c>
      <c r="I36" s="125">
        <f>TRUNC((E36*G36),2)</f>
        <v>908.64</v>
      </c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</row>
    <row r="37" spans="1:99" s="110" customFormat="1" ht="30">
      <c r="A37" s="122" t="s">
        <v>135</v>
      </c>
      <c r="B37" s="126" t="s">
        <v>259</v>
      </c>
      <c r="C37" s="124" t="s">
        <v>140</v>
      </c>
      <c r="D37" s="123" t="s">
        <v>46</v>
      </c>
      <c r="E37" s="123">
        <v>21</v>
      </c>
      <c r="F37" s="123">
        <f>TRUNC(DESONERADO!F111,2)</f>
        <v>15.4</v>
      </c>
      <c r="G37" s="123">
        <f>TRUNC(F37*1.2882,2)</f>
        <v>19.829999999999998</v>
      </c>
      <c r="H37" s="123">
        <f>TRUNC((E37*F37),2)</f>
        <v>323.39999999999998</v>
      </c>
      <c r="I37" s="125">
        <f>TRUNC((E37*G37),2)</f>
        <v>416.43</v>
      </c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</row>
    <row r="38" spans="1:99" s="110" customFormat="1" ht="45">
      <c r="A38" s="122" t="s">
        <v>136</v>
      </c>
      <c r="B38" s="126" t="s">
        <v>260</v>
      </c>
      <c r="C38" s="124" t="s">
        <v>142</v>
      </c>
      <c r="D38" s="123" t="s">
        <v>46</v>
      </c>
      <c r="E38" s="123">
        <v>21</v>
      </c>
      <c r="F38" s="123">
        <f>TRUNC(DESONERADO!F114,2)</f>
        <v>55.48</v>
      </c>
      <c r="G38" s="123">
        <f>TRUNC(F38*1.2882,2)</f>
        <v>71.459999999999994</v>
      </c>
      <c r="H38" s="123">
        <f>TRUNC((E38*F38),2)</f>
        <v>1165.08</v>
      </c>
      <c r="I38" s="125">
        <f>TRUNC((E38*G38),2)</f>
        <v>1500.66</v>
      </c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</row>
    <row r="39" spans="1:99" s="110" customFormat="1" ht="45">
      <c r="A39" s="122" t="s">
        <v>137</v>
      </c>
      <c r="B39" s="126" t="s">
        <v>273</v>
      </c>
      <c r="C39" s="124" t="s">
        <v>312</v>
      </c>
      <c r="D39" s="123" t="s">
        <v>27</v>
      </c>
      <c r="E39" s="123">
        <v>125.5</v>
      </c>
      <c r="F39" s="123">
        <f>TRUNC(DESONERADO!F123,2)</f>
        <v>71.28</v>
      </c>
      <c r="G39" s="123">
        <f>TRUNC(F39*1.2882,2)</f>
        <v>91.82</v>
      </c>
      <c r="H39" s="123">
        <f>TRUNC((E39*F39),2)</f>
        <v>8945.64</v>
      </c>
      <c r="I39" s="125">
        <f>TRUNC((E39*G39),2)</f>
        <v>11523.41</v>
      </c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</row>
    <row r="40" spans="1:99" s="110" customFormat="1" ht="45">
      <c r="A40" s="122" t="s">
        <v>138</v>
      </c>
      <c r="B40" s="126" t="s">
        <v>282</v>
      </c>
      <c r="C40" s="124" t="s">
        <v>167</v>
      </c>
      <c r="D40" s="123" t="s">
        <v>27</v>
      </c>
      <c r="E40" s="123">
        <v>4.8</v>
      </c>
      <c r="F40" s="123">
        <f>TRUNC(DESONERADO!F133,2)</f>
        <v>121.9</v>
      </c>
      <c r="G40" s="123">
        <f>TRUNC(F40*1.2882,2)</f>
        <v>157.03</v>
      </c>
      <c r="H40" s="123">
        <f>TRUNC((E40*F40),2)</f>
        <v>585.12</v>
      </c>
      <c r="I40" s="125">
        <f>TRUNC((E40*G40),2)</f>
        <v>753.74</v>
      </c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</row>
    <row r="41" spans="1:99" s="76" customFormat="1">
      <c r="A41" s="92" t="s">
        <v>62</v>
      </c>
      <c r="C41" s="93"/>
      <c r="F41" s="76" t="s">
        <v>63</v>
      </c>
      <c r="H41" s="76">
        <f>SUM(H36:H40)</f>
        <v>11724.84</v>
      </c>
      <c r="I41" s="76">
        <f>SUM(I36:I40)</f>
        <v>15102.88</v>
      </c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</row>
    <row r="42" spans="1:99" s="91" customFormat="1" ht="15.75">
      <c r="A42" s="84" t="s">
        <v>180</v>
      </c>
      <c r="B42" s="85"/>
      <c r="C42" s="86" t="s">
        <v>196</v>
      </c>
      <c r="D42" s="85"/>
      <c r="E42" s="85"/>
      <c r="F42" s="85"/>
      <c r="G42" s="87"/>
      <c r="H42" s="88"/>
      <c r="I42" s="121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</row>
    <row r="43" spans="1:99" s="110" customFormat="1" ht="38.25" customHeight="1">
      <c r="A43" s="122" t="s">
        <v>181</v>
      </c>
      <c r="B43" s="126" t="s">
        <v>289</v>
      </c>
      <c r="C43" s="124" t="s">
        <v>184</v>
      </c>
      <c r="D43" s="123" t="s">
        <v>66</v>
      </c>
      <c r="E43" s="123">
        <v>25</v>
      </c>
      <c r="F43" s="123">
        <f>TRUNC(DESONERADO!F144,2)</f>
        <v>23.11</v>
      </c>
      <c r="G43" s="123">
        <f>TRUNC(F43*1.2882,2)</f>
        <v>29.77</v>
      </c>
      <c r="H43" s="123">
        <f>TRUNC((E43*F43),2)</f>
        <v>577.75</v>
      </c>
      <c r="I43" s="125">
        <f>TRUNC((E43*G43),2)</f>
        <v>744.25</v>
      </c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</row>
    <row r="44" spans="1:99" s="110" customFormat="1" ht="45">
      <c r="A44" s="122" t="s">
        <v>182</v>
      </c>
      <c r="B44" s="126" t="s">
        <v>290</v>
      </c>
      <c r="C44" s="124" t="s">
        <v>186</v>
      </c>
      <c r="D44" s="123" t="s">
        <v>3</v>
      </c>
      <c r="E44" s="123">
        <v>5</v>
      </c>
      <c r="F44" s="123">
        <f>TRUNC(DESONERADO!F147,2)</f>
        <v>248.4</v>
      </c>
      <c r="G44" s="123">
        <f>TRUNC(F44*1.2882,2)</f>
        <v>319.98</v>
      </c>
      <c r="H44" s="123">
        <f>TRUNC((E44*F44),2)</f>
        <v>1242</v>
      </c>
      <c r="I44" s="125">
        <f>TRUNC((E44*G44),2)</f>
        <v>1599.9</v>
      </c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</row>
    <row r="45" spans="1:99" s="76" customFormat="1">
      <c r="A45" s="92" t="s">
        <v>24</v>
      </c>
      <c r="C45" s="93"/>
      <c r="D45" s="76" t="s">
        <v>63</v>
      </c>
      <c r="H45" s="76">
        <f>SUM(H43:H44)</f>
        <v>1819.75</v>
      </c>
      <c r="I45" s="76">
        <f>SUM(I43:I44)</f>
        <v>2344.15</v>
      </c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</row>
    <row r="46" spans="1:99" s="76" customFormat="1">
      <c r="A46" s="92" t="s">
        <v>24</v>
      </c>
      <c r="C46" s="93"/>
      <c r="D46" s="76" t="s">
        <v>25</v>
      </c>
      <c r="H46" s="76">
        <f>H20+H23+H27+H31+H34+H41+H45</f>
        <v>35186.559999999998</v>
      </c>
      <c r="I46" s="76">
        <f>I20+I23+I27+I31+I34+I41+I45</f>
        <v>45325.45</v>
      </c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</row>
  </sheetData>
  <mergeCells count="13">
    <mergeCell ref="A9:I9"/>
    <mergeCell ref="A10:A11"/>
    <mergeCell ref="B10:B11"/>
    <mergeCell ref="C10:C11"/>
    <mergeCell ref="D10:D11"/>
    <mergeCell ref="E10:E11"/>
    <mergeCell ref="F10:I10"/>
    <mergeCell ref="D3:H3"/>
    <mergeCell ref="D4:H4"/>
    <mergeCell ref="D5:H5"/>
    <mergeCell ref="D6:H6"/>
    <mergeCell ref="D7:H7"/>
    <mergeCell ref="D8:H8"/>
  </mergeCells>
  <pageMargins left="0.51181102362204722" right="0.51181102362204722" top="0.78740157480314965" bottom="0.78740157480314965" header="0.31496062992125984" footer="0.31496062992125984"/>
  <pageSetup paperSize="9" scale="46" fitToHeight="1000" orientation="landscape" horizontalDpi="4294967293" r:id="rId1"/>
  <headerFooter>
    <oddFooter>&amp;C&amp;A&amp;RPágina &amp;P de &amp;N</oddFooter>
  </headerFooter>
  <rowBreaks count="1" manualBreakCount="1">
    <brk id="34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showZeros="0" view="pageBreakPreview" topLeftCell="A4" zoomScale="80" zoomScaleNormal="70" zoomScaleSheetLayoutView="80" workbookViewId="0">
      <selection activeCell="G19" sqref="G19"/>
    </sheetView>
  </sheetViews>
  <sheetFormatPr defaultColWidth="8.85546875" defaultRowHeight="25.5"/>
  <cols>
    <col min="1" max="1" width="16.28515625" style="21" bestFit="1" customWidth="1"/>
    <col min="2" max="2" width="78.28515625" style="21" bestFit="1" customWidth="1"/>
    <col min="3" max="3" width="12.28515625" style="21" bestFit="1" customWidth="1"/>
    <col min="4" max="4" width="18.140625" style="21" bestFit="1" customWidth="1"/>
    <col min="5" max="6" width="18.140625" style="21" customWidth="1"/>
    <col min="7" max="7" width="29" style="21" customWidth="1"/>
    <col min="8" max="8" width="13.85546875" style="19" bestFit="1" customWidth="1"/>
    <col min="9" max="9" width="25.5703125" style="20" customWidth="1"/>
    <col min="10" max="10" width="17.42578125" style="30" customWidth="1"/>
    <col min="11" max="16384" width="8.85546875" style="19"/>
  </cols>
  <sheetData>
    <row r="1" spans="1:10">
      <c r="A1" s="168" t="s">
        <v>5</v>
      </c>
      <c r="B1" s="169"/>
      <c r="C1" s="169"/>
      <c r="D1" s="169"/>
      <c r="E1" s="96"/>
      <c r="F1" s="96"/>
      <c r="G1" s="35"/>
      <c r="H1" s="36"/>
    </row>
    <row r="2" spans="1:10">
      <c r="A2" s="170" t="s">
        <v>6</v>
      </c>
      <c r="B2" s="171"/>
      <c r="C2" s="171"/>
      <c r="D2" s="171"/>
      <c r="E2" s="97"/>
      <c r="F2" s="97"/>
      <c r="G2" s="37"/>
      <c r="H2" s="36"/>
    </row>
    <row r="3" spans="1:10">
      <c r="A3" s="170" t="s">
        <v>34</v>
      </c>
      <c r="B3" s="171"/>
      <c r="C3" s="171"/>
      <c r="D3" s="171"/>
      <c r="E3" s="97"/>
      <c r="F3" s="97"/>
      <c r="G3" s="37"/>
      <c r="H3" s="36"/>
    </row>
    <row r="4" spans="1:10">
      <c r="A4" s="178" t="s">
        <v>38</v>
      </c>
      <c r="B4" s="179"/>
      <c r="C4" s="179"/>
      <c r="D4" s="179"/>
      <c r="E4" s="101"/>
      <c r="F4" s="101"/>
      <c r="G4" s="37"/>
      <c r="H4" s="36"/>
    </row>
    <row r="5" spans="1:10">
      <c r="A5" s="180" t="s">
        <v>189</v>
      </c>
      <c r="B5" s="181"/>
      <c r="C5" s="181"/>
      <c r="D5" s="181"/>
      <c r="E5" s="102"/>
      <c r="F5" s="102"/>
      <c r="G5" s="37"/>
      <c r="H5" s="36"/>
    </row>
    <row r="6" spans="1:10">
      <c r="A6" s="159" t="s">
        <v>295</v>
      </c>
      <c r="B6" s="160"/>
      <c r="C6" s="160"/>
      <c r="D6" s="160"/>
      <c r="E6" s="103"/>
      <c r="F6" s="103"/>
      <c r="G6" s="37"/>
      <c r="H6" s="36"/>
    </row>
    <row r="7" spans="1:10">
      <c r="A7" s="172" t="s">
        <v>293</v>
      </c>
      <c r="B7" s="173"/>
      <c r="C7" s="173"/>
      <c r="D7" s="173"/>
      <c r="E7" s="98"/>
      <c r="F7" s="98"/>
      <c r="G7" s="37"/>
      <c r="H7" s="36"/>
    </row>
    <row r="8" spans="1:10">
      <c r="A8" s="174"/>
      <c r="B8" s="175"/>
      <c r="C8" s="175"/>
      <c r="D8" s="175"/>
      <c r="E8" s="99"/>
      <c r="F8" s="99"/>
      <c r="G8" s="38"/>
      <c r="H8" s="36"/>
    </row>
    <row r="9" spans="1:10">
      <c r="A9" s="176" t="s">
        <v>12</v>
      </c>
      <c r="B9" s="177"/>
      <c r="C9" s="177"/>
      <c r="D9" s="177"/>
      <c r="E9" s="100"/>
      <c r="F9" s="100"/>
      <c r="G9" s="39"/>
      <c r="H9" s="36"/>
    </row>
    <row r="10" spans="1:10">
      <c r="A10" s="162" t="s">
        <v>7</v>
      </c>
      <c r="B10" s="162" t="s">
        <v>13</v>
      </c>
      <c r="C10" s="165" t="s">
        <v>14</v>
      </c>
      <c r="D10" s="166"/>
      <c r="E10" s="165" t="s">
        <v>14</v>
      </c>
      <c r="F10" s="166"/>
      <c r="G10" s="40"/>
      <c r="H10" s="36"/>
      <c r="I10" s="22"/>
      <c r="J10" s="31"/>
    </row>
    <row r="11" spans="1:10">
      <c r="A11" s="163"/>
      <c r="B11" s="163"/>
      <c r="C11" s="165" t="s">
        <v>15</v>
      </c>
      <c r="D11" s="167"/>
      <c r="E11" s="165" t="s">
        <v>294</v>
      </c>
      <c r="F11" s="167"/>
      <c r="G11" s="40" t="s">
        <v>16</v>
      </c>
      <c r="H11" s="36"/>
      <c r="I11" s="22"/>
      <c r="J11" s="31"/>
    </row>
    <row r="12" spans="1:10">
      <c r="A12" s="164"/>
      <c r="B12" s="164"/>
      <c r="C12" s="41" t="s">
        <v>17</v>
      </c>
      <c r="D12" s="42" t="s">
        <v>18</v>
      </c>
      <c r="E12" s="41" t="s">
        <v>17</v>
      </c>
      <c r="F12" s="42" t="s">
        <v>18</v>
      </c>
      <c r="G12" s="40" t="s">
        <v>19</v>
      </c>
      <c r="H12" s="36"/>
    </row>
    <row r="13" spans="1:10">
      <c r="A13" s="161"/>
      <c r="B13" s="161"/>
      <c r="C13" s="43"/>
      <c r="D13" s="43"/>
      <c r="E13" s="43"/>
      <c r="F13" s="43"/>
      <c r="G13" s="44"/>
      <c r="H13" s="36"/>
    </row>
    <row r="14" spans="1:10">
      <c r="A14" s="45" t="s">
        <v>4</v>
      </c>
      <c r="B14" s="46" t="str">
        <f>ONERADO!C12</f>
        <v>SERVIÇOS PRELIMINARES</v>
      </c>
      <c r="C14" s="47">
        <v>1</v>
      </c>
      <c r="D14" s="48">
        <f>C14*G14</f>
        <v>4129.0199999999995</v>
      </c>
      <c r="E14" s="48"/>
      <c r="F14" s="48">
        <f t="shared" ref="F14:F20" si="0">E14*G14</f>
        <v>0</v>
      </c>
      <c r="G14" s="49">
        <v>4129.0199999999995</v>
      </c>
      <c r="H14" s="50">
        <f>D14</f>
        <v>4129.0199999999995</v>
      </c>
      <c r="I14" s="23">
        <f>G14-H14</f>
        <v>0</v>
      </c>
      <c r="J14" s="32">
        <f>I14/G14</f>
        <v>0</v>
      </c>
    </row>
    <row r="15" spans="1:10">
      <c r="A15" s="45" t="s">
        <v>61</v>
      </c>
      <c r="B15" s="46" t="str">
        <f>ONERADO!C44</f>
        <v>Estrutura de concreto armado</v>
      </c>
      <c r="C15" s="47">
        <v>1</v>
      </c>
      <c r="D15" s="48">
        <f t="shared" ref="D15:D20" si="1">C15*G15</f>
        <v>3000.25</v>
      </c>
      <c r="E15" s="47"/>
      <c r="F15" s="48">
        <f t="shared" si="0"/>
        <v>0</v>
      </c>
      <c r="G15" s="71">
        <v>3000.25</v>
      </c>
      <c r="H15" s="50">
        <f t="shared" ref="H15:H20" si="2">D15</f>
        <v>3000.25</v>
      </c>
      <c r="I15" s="23">
        <f t="shared" ref="I15:I20" si="3">G15-H15</f>
        <v>0</v>
      </c>
      <c r="J15" s="32"/>
    </row>
    <row r="16" spans="1:10">
      <c r="A16" s="45" t="s">
        <v>74</v>
      </c>
      <c r="B16" s="46" t="str">
        <f>ONERADO!C63</f>
        <v>Alvenaria e revestimentos</v>
      </c>
      <c r="C16" s="47">
        <v>0.5</v>
      </c>
      <c r="D16" s="48">
        <f t="shared" si="1"/>
        <v>809.05</v>
      </c>
      <c r="E16" s="47">
        <v>0.5</v>
      </c>
      <c r="F16" s="48">
        <f t="shared" si="0"/>
        <v>809.05</v>
      </c>
      <c r="G16" s="71">
        <v>1618.1</v>
      </c>
      <c r="H16" s="50">
        <f t="shared" si="2"/>
        <v>809.05</v>
      </c>
      <c r="I16" s="23">
        <f t="shared" si="3"/>
        <v>809.05</v>
      </c>
      <c r="J16" s="32"/>
    </row>
    <row r="17" spans="1:10">
      <c r="A17" s="45" t="s">
        <v>102</v>
      </c>
      <c r="B17" s="46" t="str">
        <f>ONERADO!C78</f>
        <v>Gradil eletrofundido</v>
      </c>
      <c r="C17" s="47">
        <v>0</v>
      </c>
      <c r="D17" s="48">
        <f t="shared" si="1"/>
        <v>0</v>
      </c>
      <c r="E17" s="47">
        <v>1</v>
      </c>
      <c r="F17" s="48">
        <f t="shared" si="0"/>
        <v>18481.989999999998</v>
      </c>
      <c r="G17" s="71">
        <v>18481.989999999998</v>
      </c>
      <c r="H17" s="50">
        <f t="shared" si="2"/>
        <v>0</v>
      </c>
      <c r="I17" s="23">
        <f t="shared" si="3"/>
        <v>18481.989999999998</v>
      </c>
      <c r="J17" s="32"/>
    </row>
    <row r="18" spans="1:10">
      <c r="A18" s="45" t="s">
        <v>121</v>
      </c>
      <c r="B18" s="46" t="str">
        <f>ONERADO!C98</f>
        <v>Pintura</v>
      </c>
      <c r="C18" s="47"/>
      <c r="D18" s="48">
        <f t="shared" si="1"/>
        <v>0</v>
      </c>
      <c r="E18" s="47">
        <v>1</v>
      </c>
      <c r="F18" s="48">
        <f t="shared" si="0"/>
        <v>649.05999999999995</v>
      </c>
      <c r="G18" s="71">
        <v>649.05999999999995</v>
      </c>
      <c r="H18" s="50">
        <f t="shared" si="2"/>
        <v>0</v>
      </c>
      <c r="I18" s="23">
        <f t="shared" si="3"/>
        <v>649.05999999999995</v>
      </c>
      <c r="J18" s="32"/>
    </row>
    <row r="19" spans="1:10">
      <c r="A19" s="45" t="s">
        <v>133</v>
      </c>
      <c r="B19" s="46" t="str">
        <f>ONERADO!C107</f>
        <v>Calçada de concreto (interna e externa)</v>
      </c>
      <c r="C19" s="47">
        <v>0.5</v>
      </c>
      <c r="D19" s="48">
        <f t="shared" si="1"/>
        <v>7551.44</v>
      </c>
      <c r="E19" s="47">
        <v>0.5</v>
      </c>
      <c r="F19" s="48">
        <f t="shared" si="0"/>
        <v>7551.44</v>
      </c>
      <c r="G19" s="71">
        <v>15102.88</v>
      </c>
      <c r="H19" s="50">
        <f t="shared" si="2"/>
        <v>7551.44</v>
      </c>
      <c r="I19" s="23">
        <f t="shared" si="3"/>
        <v>7551.44</v>
      </c>
      <c r="J19" s="32"/>
    </row>
    <row r="20" spans="1:10">
      <c r="A20" s="45" t="s">
        <v>180</v>
      </c>
      <c r="B20" s="46" t="str">
        <f>ONERADO!C143</f>
        <v>Transporte e bota-fora</v>
      </c>
      <c r="C20" s="47">
        <v>0.5</v>
      </c>
      <c r="D20" s="48">
        <f t="shared" si="1"/>
        <v>1172.075</v>
      </c>
      <c r="E20" s="47">
        <v>0.5</v>
      </c>
      <c r="F20" s="48">
        <f t="shared" si="0"/>
        <v>1172.075</v>
      </c>
      <c r="G20" s="71">
        <v>2344.15</v>
      </c>
      <c r="H20" s="50">
        <f t="shared" si="2"/>
        <v>1172.075</v>
      </c>
      <c r="I20" s="23">
        <f t="shared" si="3"/>
        <v>1172.075</v>
      </c>
      <c r="J20" s="32"/>
    </row>
    <row r="21" spans="1:10" s="30" customFormat="1">
      <c r="A21" s="51"/>
      <c r="B21" s="52"/>
      <c r="C21" s="53"/>
      <c r="D21" s="54"/>
      <c r="E21" s="119"/>
      <c r="F21" s="119"/>
      <c r="G21" s="55">
        <f>SUM(G14:G20)</f>
        <v>45325.45</v>
      </c>
      <c r="H21" s="50"/>
      <c r="I21" s="20"/>
    </row>
    <row r="22" spans="1:10" s="30" customFormat="1">
      <c r="A22" s="157" t="s">
        <v>20</v>
      </c>
      <c r="B22" s="158"/>
      <c r="C22" s="149">
        <f>SUM(D14:D20)</f>
        <v>16661.834999999999</v>
      </c>
      <c r="D22" s="150"/>
      <c r="E22" s="149">
        <f>SUM(F14:F20)</f>
        <v>28663.614999999998</v>
      </c>
      <c r="F22" s="150"/>
      <c r="G22" s="56"/>
      <c r="H22" s="36"/>
      <c r="I22" s="20"/>
    </row>
    <row r="23" spans="1:10" s="30" customFormat="1">
      <c r="A23" s="157" t="s">
        <v>21</v>
      </c>
      <c r="B23" s="158"/>
      <c r="C23" s="151">
        <f>C22</f>
        <v>16661.834999999999</v>
      </c>
      <c r="D23" s="152"/>
      <c r="E23" s="151">
        <f>E22+C23</f>
        <v>45325.45</v>
      </c>
      <c r="F23" s="152"/>
      <c r="G23" s="57"/>
      <c r="H23" s="36"/>
      <c r="I23" s="20"/>
    </row>
    <row r="24" spans="1:10" s="30" customFormat="1">
      <c r="A24" s="155" t="s">
        <v>22</v>
      </c>
      <c r="B24" s="156"/>
      <c r="C24" s="153">
        <f>C22/G21</f>
        <v>0.36760440326571497</v>
      </c>
      <c r="D24" s="154"/>
      <c r="E24" s="153">
        <f>E22/G21</f>
        <v>0.63239559673428503</v>
      </c>
      <c r="F24" s="154"/>
      <c r="G24" s="58"/>
      <c r="H24" s="36"/>
      <c r="I24" s="20"/>
    </row>
    <row r="25" spans="1:10" s="30" customFormat="1">
      <c r="A25" s="155" t="s">
        <v>23</v>
      </c>
      <c r="B25" s="156"/>
      <c r="C25" s="153">
        <f>C24</f>
        <v>0.36760440326571497</v>
      </c>
      <c r="D25" s="154"/>
      <c r="E25" s="153">
        <f>E24+C25</f>
        <v>1</v>
      </c>
      <c r="F25" s="154"/>
      <c r="G25" s="59"/>
      <c r="H25" s="36"/>
      <c r="I25" s="20"/>
    </row>
    <row r="27" spans="1:10" s="30" customFormat="1" ht="27">
      <c r="A27" s="21"/>
      <c r="B27" s="21"/>
      <c r="C27" s="21"/>
      <c r="D27" s="33"/>
      <c r="E27" s="33"/>
      <c r="F27" s="33"/>
      <c r="G27" s="34"/>
      <c r="H27" s="19"/>
      <c r="I27" s="20"/>
    </row>
    <row r="28" spans="1:10" s="30" customFormat="1" ht="27">
      <c r="A28" s="21"/>
      <c r="B28" s="21"/>
      <c r="C28" s="21"/>
      <c r="D28" s="21"/>
      <c r="E28" s="21"/>
      <c r="F28" s="21"/>
      <c r="G28" s="34"/>
      <c r="H28" s="19"/>
      <c r="I28" s="20"/>
    </row>
  </sheetData>
  <mergeCells count="28">
    <mergeCell ref="E10:F10"/>
    <mergeCell ref="E11:F11"/>
    <mergeCell ref="A1:D1"/>
    <mergeCell ref="A2:D2"/>
    <mergeCell ref="A3:D3"/>
    <mergeCell ref="A7:D7"/>
    <mergeCell ref="A8:D8"/>
    <mergeCell ref="A9:D9"/>
    <mergeCell ref="A4:D4"/>
    <mergeCell ref="A5:D5"/>
    <mergeCell ref="A6:D6"/>
    <mergeCell ref="A13:B13"/>
    <mergeCell ref="A22:B22"/>
    <mergeCell ref="C22:D22"/>
    <mergeCell ref="A10:A12"/>
    <mergeCell ref="B10:B12"/>
    <mergeCell ref="C10:D10"/>
    <mergeCell ref="C11:D11"/>
    <mergeCell ref="E22:F22"/>
    <mergeCell ref="E23:F23"/>
    <mergeCell ref="E24:F24"/>
    <mergeCell ref="E25:F25"/>
    <mergeCell ref="A25:B25"/>
    <mergeCell ref="C25:D25"/>
    <mergeCell ref="A24:B24"/>
    <mergeCell ref="C24:D24"/>
    <mergeCell ref="A23:B23"/>
    <mergeCell ref="C23:D23"/>
  </mergeCells>
  <printOptions horizontalCentered="1" verticalCentered="1"/>
  <pageMargins left="0.39370078740157483" right="0.39370078740157483" top="0.98425196850393704" bottom="0.39370078740157483" header="0" footer="0"/>
  <pageSetup paperSize="9" scale="70" fitToHeight="1000" orientation="landscape" horizontalDpi="4294967294" verticalDpi="300" r:id="rId1"/>
  <headerFooter alignWithMargins="0">
    <oddFooter>&amp;C&amp;14&amp;A&amp;R&amp;14Página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U163"/>
  <sheetViews>
    <sheetView view="pageBreakPreview" zoomScale="70" zoomScaleNormal="100" zoomScaleSheetLayoutView="70" workbookViewId="0">
      <selection activeCell="B34" sqref="B34"/>
    </sheetView>
  </sheetViews>
  <sheetFormatPr defaultRowHeight="15"/>
  <cols>
    <col min="1" max="1" width="9.140625" style="27" customWidth="1"/>
    <col min="2" max="2" width="23.7109375" customWidth="1"/>
    <col min="3" max="3" width="104" style="1" customWidth="1"/>
    <col min="4" max="4" width="17.28515625" bestFit="1" customWidth="1"/>
    <col min="5" max="5" width="10" bestFit="1" customWidth="1"/>
    <col min="6" max="6" width="14.5703125" bestFit="1" customWidth="1"/>
    <col min="7" max="7" width="14.28515625" bestFit="1" customWidth="1"/>
    <col min="8" max="8" width="16.28515625" bestFit="1" customWidth="1"/>
    <col min="9" max="9" width="16.42578125" bestFit="1" customWidth="1"/>
    <col min="10" max="10" width="9.140625" style="28" customWidth="1"/>
    <col min="11" max="12" width="9.85546875" style="28" bestFit="1" customWidth="1"/>
    <col min="13" max="99" width="9.140625" style="28" customWidth="1"/>
  </cols>
  <sheetData>
    <row r="1" spans="1:99" ht="15.75">
      <c r="A1" s="2"/>
      <c r="B1" s="3"/>
      <c r="C1" s="4" t="s">
        <v>5</v>
      </c>
      <c r="D1" s="5"/>
      <c r="E1" s="6"/>
      <c r="F1" s="7"/>
      <c r="G1" s="7"/>
      <c r="H1" s="7"/>
      <c r="I1" s="65"/>
    </row>
    <row r="2" spans="1:99" ht="15.75">
      <c r="A2" s="8"/>
      <c r="B2" s="9"/>
      <c r="C2" s="10" t="s">
        <v>6</v>
      </c>
      <c r="D2" s="11"/>
      <c r="E2" s="12"/>
      <c r="F2" s="13"/>
      <c r="G2" s="13"/>
      <c r="H2" s="13"/>
      <c r="I2" s="66"/>
    </row>
    <row r="3" spans="1:99" ht="15.75">
      <c r="A3" s="8"/>
      <c r="B3" s="9"/>
      <c r="C3" s="10" t="s">
        <v>34</v>
      </c>
      <c r="D3" s="139" t="s">
        <v>197</v>
      </c>
      <c r="E3" s="140"/>
      <c r="F3" s="140"/>
      <c r="G3" s="140"/>
      <c r="H3" s="140"/>
      <c r="I3" s="60"/>
    </row>
    <row r="4" spans="1:99" ht="15.75" customHeight="1">
      <c r="A4" s="8"/>
      <c r="B4" s="9"/>
      <c r="C4" s="14" t="s">
        <v>38</v>
      </c>
      <c r="D4" s="141" t="s">
        <v>204</v>
      </c>
      <c r="E4" s="142"/>
      <c r="F4" s="142"/>
      <c r="G4" s="142"/>
      <c r="H4" s="142"/>
      <c r="I4" s="61"/>
    </row>
    <row r="5" spans="1:99" ht="15.75">
      <c r="A5" s="8"/>
      <c r="B5" s="9"/>
      <c r="C5" s="25" t="s">
        <v>189</v>
      </c>
      <c r="D5" s="143"/>
      <c r="E5" s="144"/>
      <c r="F5" s="144"/>
      <c r="G5" s="144"/>
      <c r="H5" s="144"/>
      <c r="I5" s="62"/>
    </row>
    <row r="6" spans="1:99" ht="15.75">
      <c r="A6" s="8"/>
      <c r="B6" s="9"/>
      <c r="C6" s="15" t="s">
        <v>203</v>
      </c>
      <c r="D6" s="145"/>
      <c r="E6" s="146"/>
      <c r="F6" s="146"/>
      <c r="G6" s="146"/>
      <c r="H6" s="146"/>
      <c r="I6" s="63"/>
    </row>
    <row r="7" spans="1:99" ht="15.75">
      <c r="A7" s="8"/>
      <c r="B7" s="9"/>
      <c r="C7" s="26"/>
      <c r="D7" s="145"/>
      <c r="E7" s="146"/>
      <c r="F7" s="146"/>
      <c r="G7" s="146"/>
      <c r="H7" s="146"/>
      <c r="I7" s="63"/>
    </row>
    <row r="8" spans="1:99" ht="15.75">
      <c r="A8" s="16"/>
      <c r="B8" s="17"/>
      <c r="C8" s="18"/>
      <c r="D8" s="147"/>
      <c r="E8" s="148"/>
      <c r="F8" s="148"/>
      <c r="G8" s="148"/>
      <c r="H8" s="148"/>
      <c r="I8" s="64"/>
    </row>
    <row r="9" spans="1:99" ht="15" customHeight="1">
      <c r="A9" s="127" t="s">
        <v>190</v>
      </c>
      <c r="B9" s="128"/>
      <c r="C9" s="128"/>
      <c r="D9" s="128"/>
      <c r="E9" s="128"/>
      <c r="F9" s="128"/>
      <c r="G9" s="128"/>
      <c r="H9" s="128"/>
      <c r="I9" s="128"/>
    </row>
    <row r="10" spans="1:99" ht="15.75">
      <c r="A10" s="129" t="s">
        <v>7</v>
      </c>
      <c r="B10" s="131" t="s">
        <v>8</v>
      </c>
      <c r="C10" s="133" t="s">
        <v>9</v>
      </c>
      <c r="D10" s="129" t="s">
        <v>3</v>
      </c>
      <c r="E10" s="134" t="s">
        <v>10</v>
      </c>
      <c r="F10" s="136" t="s">
        <v>11</v>
      </c>
      <c r="G10" s="137"/>
      <c r="H10" s="137"/>
      <c r="I10" s="138"/>
    </row>
    <row r="11" spans="1:99" ht="15.75">
      <c r="A11" s="130"/>
      <c r="B11" s="132"/>
      <c r="C11" s="131"/>
      <c r="D11" s="130"/>
      <c r="E11" s="135"/>
      <c r="F11" s="67" t="s">
        <v>212</v>
      </c>
      <c r="G11" s="68" t="s">
        <v>191</v>
      </c>
      <c r="H11" s="69" t="s">
        <v>213</v>
      </c>
      <c r="I11" s="70" t="s">
        <v>192</v>
      </c>
    </row>
    <row r="12" spans="1:99" s="91" customFormat="1" ht="15.75">
      <c r="A12" s="84" t="s">
        <v>4</v>
      </c>
      <c r="B12" s="85"/>
      <c r="C12" s="86" t="s">
        <v>35</v>
      </c>
      <c r="D12" s="85"/>
      <c r="E12" s="85"/>
      <c r="F12" s="85"/>
      <c r="G12" s="87"/>
      <c r="H12" s="88"/>
      <c r="I12" s="89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</row>
    <row r="13" spans="1:99" s="78" customFormat="1" ht="30">
      <c r="A13" s="79" t="s">
        <v>2</v>
      </c>
      <c r="B13" s="78" t="s">
        <v>39</v>
      </c>
      <c r="C13" s="80" t="s">
        <v>40</v>
      </c>
      <c r="D13" s="78" t="s">
        <v>27</v>
      </c>
      <c r="E13" s="78">
        <v>6</v>
      </c>
      <c r="F13" s="78">
        <f>TRUNC(G22,2)</f>
        <v>366.9</v>
      </c>
      <c r="G13" s="78">
        <f>TRUNC(F13*1.2247,2)</f>
        <v>449.34</v>
      </c>
      <c r="H13" s="78">
        <f>TRUNC((E13*F13),2)</f>
        <v>2201.4</v>
      </c>
      <c r="I13" s="78">
        <f>TRUNC((E13*G13),2)</f>
        <v>2696.04</v>
      </c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</row>
    <row r="14" spans="1:99" ht="21.75" customHeight="1">
      <c r="B14" t="s">
        <v>41</v>
      </c>
      <c r="C14" s="1" t="s">
        <v>42</v>
      </c>
      <c r="D14" t="s">
        <v>43</v>
      </c>
      <c r="E14">
        <v>0.3</v>
      </c>
      <c r="F14">
        <f>TRUNC(11.33,2)</f>
        <v>11.33</v>
      </c>
      <c r="G14">
        <f t="shared" ref="G14:G21" si="0">TRUNC(E14*F14,2)</f>
        <v>3.39</v>
      </c>
    </row>
    <row r="15" spans="1:99">
      <c r="B15" t="s">
        <v>44</v>
      </c>
      <c r="C15" s="1" t="s">
        <v>45</v>
      </c>
      <c r="D15" t="s">
        <v>46</v>
      </c>
      <c r="E15">
        <v>9.1999999999999993</v>
      </c>
      <c r="F15">
        <f>TRUNC(3.6241,2)</f>
        <v>3.62</v>
      </c>
      <c r="G15">
        <f t="shared" si="0"/>
        <v>33.299999999999997</v>
      </c>
    </row>
    <row r="16" spans="1:99">
      <c r="B16" t="s">
        <v>47</v>
      </c>
      <c r="C16" s="1" t="s">
        <v>48</v>
      </c>
      <c r="D16" t="s">
        <v>49</v>
      </c>
      <c r="E16">
        <v>0.2</v>
      </c>
      <c r="F16">
        <f>TRUNC(54.27,2)</f>
        <v>54.27</v>
      </c>
      <c r="G16">
        <f t="shared" si="0"/>
        <v>10.85</v>
      </c>
    </row>
    <row r="17" spans="1:99" ht="30">
      <c r="B17" t="s">
        <v>50</v>
      </c>
      <c r="C17" s="1" t="s">
        <v>51</v>
      </c>
      <c r="D17" t="s">
        <v>43</v>
      </c>
      <c r="E17">
        <v>5</v>
      </c>
      <c r="F17">
        <f>TRUNC(8.6998,2)</f>
        <v>8.69</v>
      </c>
      <c r="G17">
        <f t="shared" si="0"/>
        <v>43.45</v>
      </c>
    </row>
    <row r="18" spans="1:99">
      <c r="B18" t="s">
        <v>31</v>
      </c>
      <c r="C18" s="1" t="s">
        <v>32</v>
      </c>
      <c r="D18" t="s">
        <v>0</v>
      </c>
      <c r="E18">
        <v>2.06</v>
      </c>
      <c r="F18">
        <f>TRUNC(15.69,2)</f>
        <v>15.69</v>
      </c>
      <c r="G18">
        <f t="shared" si="0"/>
        <v>32.32</v>
      </c>
    </row>
    <row r="19" spans="1:99">
      <c r="B19" t="s">
        <v>52</v>
      </c>
      <c r="C19" s="1" t="s">
        <v>53</v>
      </c>
      <c r="D19" t="s">
        <v>0</v>
      </c>
      <c r="E19">
        <v>2.06</v>
      </c>
      <c r="F19">
        <f>TRUNC(23.32,2)</f>
        <v>23.32</v>
      </c>
      <c r="G19">
        <f t="shared" si="0"/>
        <v>48.03</v>
      </c>
    </row>
    <row r="20" spans="1:99" ht="21.75" customHeight="1">
      <c r="B20" t="s">
        <v>54</v>
      </c>
      <c r="C20" s="1" t="s">
        <v>55</v>
      </c>
      <c r="D20" t="s">
        <v>0</v>
      </c>
      <c r="E20">
        <v>4.12</v>
      </c>
      <c r="F20">
        <f>TRUNC(21.67,2)</f>
        <v>21.67</v>
      </c>
      <c r="G20">
        <f t="shared" si="0"/>
        <v>89.28</v>
      </c>
    </row>
    <row r="21" spans="1:99">
      <c r="B21" t="s">
        <v>56</v>
      </c>
      <c r="C21" s="1" t="s">
        <v>57</v>
      </c>
      <c r="D21" t="s">
        <v>0</v>
      </c>
      <c r="E21">
        <v>1</v>
      </c>
      <c r="F21">
        <f>TRUNC(106.2884,2)</f>
        <v>106.28</v>
      </c>
      <c r="G21">
        <f t="shared" si="0"/>
        <v>106.28</v>
      </c>
    </row>
    <row r="22" spans="1:99">
      <c r="E22" t="s">
        <v>1</v>
      </c>
      <c r="G22">
        <f>TRUNC(SUM(G14:G21),2)</f>
        <v>366.9</v>
      </c>
    </row>
    <row r="23" spans="1:99" s="78" customFormat="1" ht="30">
      <c r="A23" s="79" t="s">
        <v>33</v>
      </c>
      <c r="B23" s="78" t="s">
        <v>58</v>
      </c>
      <c r="C23" s="80" t="s">
        <v>59</v>
      </c>
      <c r="D23" s="78" t="s">
        <v>27</v>
      </c>
      <c r="E23" s="78">
        <v>2.42</v>
      </c>
      <c r="F23" s="78">
        <f>TRUNC(G25,2)</f>
        <v>16.16</v>
      </c>
      <c r="G23" s="78">
        <f>TRUNC(F23*1.2247,2)</f>
        <v>19.79</v>
      </c>
      <c r="H23" s="78">
        <f>TRUNC((E23*F23),2)</f>
        <v>39.1</v>
      </c>
      <c r="I23" s="78">
        <f>TRUNC((E23*G23),2)</f>
        <v>47.89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</row>
    <row r="24" spans="1:99">
      <c r="B24" t="s">
        <v>31</v>
      </c>
      <c r="C24" s="1" t="s">
        <v>32</v>
      </c>
      <c r="D24" t="s">
        <v>0</v>
      </c>
      <c r="E24">
        <v>1.03</v>
      </c>
      <c r="F24">
        <f>TRUNC(15.69,2)</f>
        <v>15.69</v>
      </c>
      <c r="G24">
        <f>TRUNC(E24*F24,2)</f>
        <v>16.16</v>
      </c>
    </row>
    <row r="25" spans="1:99">
      <c r="E25" t="s">
        <v>1</v>
      </c>
      <c r="G25">
        <f>TRUNC(SUM(G24:G24),2)</f>
        <v>16.16</v>
      </c>
    </row>
    <row r="26" spans="1:99" s="78" customFormat="1" ht="30">
      <c r="A26" s="79" t="s">
        <v>36</v>
      </c>
      <c r="B26" s="78" t="s">
        <v>64</v>
      </c>
      <c r="C26" s="80" t="s">
        <v>65</v>
      </c>
      <c r="D26" s="78" t="s">
        <v>66</v>
      </c>
      <c r="E26" s="78">
        <v>6</v>
      </c>
      <c r="F26" s="78">
        <f>TRUNC(G29,2)</f>
        <v>82.76</v>
      </c>
      <c r="G26" s="78">
        <f>TRUNC(F26*1.2247,2)</f>
        <v>101.35</v>
      </c>
      <c r="H26" s="78">
        <f>TRUNC((E26*F26),2)</f>
        <v>496.56</v>
      </c>
      <c r="I26" s="78">
        <f>TRUNC((E26*G26),2)</f>
        <v>608.1</v>
      </c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</row>
    <row r="27" spans="1:99">
      <c r="B27" t="s">
        <v>31</v>
      </c>
      <c r="C27" s="1" t="s">
        <v>32</v>
      </c>
      <c r="D27" t="s">
        <v>0</v>
      </c>
      <c r="E27">
        <v>4.6349999999999998</v>
      </c>
      <c r="F27">
        <f>TRUNC(15.69,2)</f>
        <v>15.69</v>
      </c>
      <c r="G27">
        <f>TRUNC(E27*F27,2)</f>
        <v>72.72</v>
      </c>
    </row>
    <row r="28" spans="1:99">
      <c r="B28" t="s">
        <v>67</v>
      </c>
      <c r="C28" s="1" t="s">
        <v>68</v>
      </c>
      <c r="D28" t="s">
        <v>0</v>
      </c>
      <c r="E28">
        <v>0.46350000000000002</v>
      </c>
      <c r="F28">
        <f>TRUNC(21.67,2)</f>
        <v>21.67</v>
      </c>
      <c r="G28">
        <f>TRUNC(E28*F28,2)</f>
        <v>10.039999999999999</v>
      </c>
    </row>
    <row r="29" spans="1:99">
      <c r="E29" t="s">
        <v>1</v>
      </c>
      <c r="G29">
        <f>TRUNC(SUM(G27:G28),2)</f>
        <v>82.76</v>
      </c>
    </row>
    <row r="30" spans="1:99" s="78" customFormat="1" ht="45">
      <c r="A30" s="79" t="s">
        <v>37</v>
      </c>
      <c r="B30" s="78" t="s">
        <v>69</v>
      </c>
      <c r="C30" s="80" t="s">
        <v>70</v>
      </c>
      <c r="D30" s="78" t="s">
        <v>66</v>
      </c>
      <c r="E30" s="78">
        <v>1.7</v>
      </c>
      <c r="F30" s="78">
        <f>TRUNC(G33,2)</f>
        <v>305.58999999999997</v>
      </c>
      <c r="G30" s="78">
        <f>TRUNC(F30*1.2247,2)</f>
        <v>374.25</v>
      </c>
      <c r="H30" s="78">
        <f>TRUNC((E30*F30),2)</f>
        <v>519.5</v>
      </c>
      <c r="I30" s="78">
        <f>TRUNC((E30*G30),2)</f>
        <v>636.22</v>
      </c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</row>
    <row r="31" spans="1:99">
      <c r="B31" t="s">
        <v>31</v>
      </c>
      <c r="C31" s="1" t="s">
        <v>32</v>
      </c>
      <c r="D31" t="s">
        <v>0</v>
      </c>
      <c r="E31">
        <v>17.201000000000001</v>
      </c>
      <c r="F31">
        <f>TRUNC(15.69,2)</f>
        <v>15.69</v>
      </c>
      <c r="G31">
        <f>TRUNC(E31*F31,2)</f>
        <v>269.88</v>
      </c>
    </row>
    <row r="32" spans="1:99">
      <c r="B32" t="s">
        <v>67</v>
      </c>
      <c r="C32" s="1" t="s">
        <v>68</v>
      </c>
      <c r="D32" t="s">
        <v>0</v>
      </c>
      <c r="E32">
        <v>1.6480000000000001</v>
      </c>
      <c r="F32">
        <f>TRUNC(21.67,2)</f>
        <v>21.67</v>
      </c>
      <c r="G32">
        <f>TRUNC(E32*F32,2)</f>
        <v>35.71</v>
      </c>
    </row>
    <row r="33" spans="1:99">
      <c r="E33" t="s">
        <v>1</v>
      </c>
      <c r="G33">
        <f>TRUNC(SUM(G31:G32),2)</f>
        <v>305.58999999999997</v>
      </c>
    </row>
    <row r="34" spans="1:99" s="78" customFormat="1" ht="45">
      <c r="A34" s="79" t="s">
        <v>60</v>
      </c>
      <c r="B34" s="78" t="s">
        <v>71</v>
      </c>
      <c r="C34" s="80" t="s">
        <v>72</v>
      </c>
      <c r="D34" s="78" t="s">
        <v>27</v>
      </c>
      <c r="E34" s="78">
        <v>12</v>
      </c>
      <c r="F34" s="78">
        <f>TRUNC(G36,2)</f>
        <v>11.31</v>
      </c>
      <c r="G34" s="78">
        <f>TRUNC(F34*1.2247,2)</f>
        <v>13.85</v>
      </c>
      <c r="H34" s="78">
        <f>TRUNC((E34*F34),2)</f>
        <v>135.72</v>
      </c>
      <c r="I34" s="78">
        <f>TRUNC((E34*G34),2)</f>
        <v>166.2</v>
      </c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</row>
    <row r="35" spans="1:99">
      <c r="B35" t="s">
        <v>31</v>
      </c>
      <c r="C35" s="1" t="s">
        <v>32</v>
      </c>
      <c r="D35" t="s">
        <v>0</v>
      </c>
      <c r="E35">
        <v>0.72099999999999997</v>
      </c>
      <c r="F35">
        <f>TRUNC(15.69,2)</f>
        <v>15.69</v>
      </c>
      <c r="G35">
        <f>TRUNC(E35*F35,2)</f>
        <v>11.31</v>
      </c>
    </row>
    <row r="36" spans="1:99">
      <c r="E36" t="s">
        <v>1</v>
      </c>
      <c r="G36">
        <f>TRUNC(SUM(G35:G35),2)</f>
        <v>11.31</v>
      </c>
    </row>
    <row r="37" spans="1:99" s="78" customFormat="1">
      <c r="A37" s="79" t="s">
        <v>198</v>
      </c>
      <c r="B37" s="78" t="s">
        <v>199</v>
      </c>
      <c r="C37" s="80" t="s">
        <v>200</v>
      </c>
      <c r="D37" s="78" t="s">
        <v>46</v>
      </c>
      <c r="E37" s="78">
        <v>7</v>
      </c>
      <c r="F37" s="78">
        <f>TRUNC(G39,2)</f>
        <v>15.35</v>
      </c>
      <c r="G37" s="78">
        <f>TRUNC(F37*1.2247,2)</f>
        <v>18.79</v>
      </c>
      <c r="H37" s="78">
        <f>TRUNC((E37*F37),2)</f>
        <v>107.45</v>
      </c>
      <c r="I37" s="78">
        <f>TRUNC((E37*G37),2)</f>
        <v>131.53</v>
      </c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</row>
    <row r="38" spans="1:99">
      <c r="B38" t="s">
        <v>31</v>
      </c>
      <c r="C38" s="1" t="s">
        <v>32</v>
      </c>
      <c r="D38" t="s">
        <v>0</v>
      </c>
      <c r="E38">
        <v>0.97849999999999993</v>
      </c>
      <c r="F38">
        <f>TRUNC(15.69,2)</f>
        <v>15.69</v>
      </c>
      <c r="G38">
        <f>TRUNC(E38*F38,2)</f>
        <v>15.35</v>
      </c>
    </row>
    <row r="39" spans="1:99">
      <c r="E39" t="s">
        <v>1</v>
      </c>
      <c r="G39">
        <f>TRUNC(SUM(G38:G38),2)</f>
        <v>15.35</v>
      </c>
    </row>
    <row r="40" spans="1:99" s="78" customFormat="1">
      <c r="A40" s="79" t="s">
        <v>206</v>
      </c>
      <c r="B40" s="83" t="s">
        <v>215</v>
      </c>
      <c r="C40" s="80" t="s">
        <v>205</v>
      </c>
      <c r="D40" s="78" t="s">
        <v>46</v>
      </c>
      <c r="E40" s="78">
        <v>2</v>
      </c>
      <c r="F40" s="78">
        <f>TRUNC(G42,2)</f>
        <v>18.579999999999998</v>
      </c>
      <c r="G40" s="78">
        <f>TRUNC(F40*1.2247,2)</f>
        <v>22.75</v>
      </c>
      <c r="H40" s="78">
        <f>TRUNC((E40*F40),2)</f>
        <v>37.159999999999997</v>
      </c>
      <c r="I40" s="78">
        <f>TRUNC((E40*G40),2)</f>
        <v>45.5</v>
      </c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</row>
    <row r="41" spans="1:99">
      <c r="B41" t="s">
        <v>31</v>
      </c>
      <c r="C41" s="1" t="s">
        <v>32</v>
      </c>
      <c r="D41" t="s">
        <v>0</v>
      </c>
      <c r="E41">
        <v>1.1844999999999999</v>
      </c>
      <c r="F41">
        <f>TRUNC(15.69,2)</f>
        <v>15.69</v>
      </c>
      <c r="G41">
        <f>TRUNC(E41*F41,2)</f>
        <v>18.579999999999998</v>
      </c>
    </row>
    <row r="42" spans="1:99">
      <c r="E42" t="s">
        <v>1</v>
      </c>
      <c r="G42">
        <f>TRUNC(SUM(G41:G41),2)</f>
        <v>18.579999999999998</v>
      </c>
    </row>
    <row r="43" spans="1:99" s="76" customFormat="1">
      <c r="A43" s="92" t="s">
        <v>62</v>
      </c>
      <c r="C43" s="93"/>
      <c r="F43" s="76" t="s">
        <v>63</v>
      </c>
      <c r="H43" s="76">
        <f>SUM(H13:H40)</f>
        <v>3536.8899999999994</v>
      </c>
      <c r="I43" s="76">
        <f>SUM(I13:I40)</f>
        <v>4331.4799999999996</v>
      </c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</row>
    <row r="44" spans="1:99" s="91" customFormat="1" ht="15.75">
      <c r="A44" s="84" t="s">
        <v>61</v>
      </c>
      <c r="B44" s="85"/>
      <c r="C44" s="86" t="s">
        <v>193</v>
      </c>
      <c r="D44" s="85"/>
      <c r="E44" s="85"/>
      <c r="F44" s="85"/>
      <c r="G44" s="87"/>
      <c r="H44" s="88"/>
      <c r="I44" s="89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</row>
    <row r="45" spans="1:99" s="78" customFormat="1" ht="60">
      <c r="A45" s="79" t="s">
        <v>73</v>
      </c>
      <c r="B45" s="83" t="s">
        <v>216</v>
      </c>
      <c r="C45" s="80" t="s">
        <v>75</v>
      </c>
      <c r="D45" s="78" t="s">
        <v>66</v>
      </c>
      <c r="E45" s="78">
        <v>1.1000000000000001</v>
      </c>
      <c r="F45" s="78">
        <f>TRUNC(G61,2)</f>
        <v>2269.6999999999998</v>
      </c>
      <c r="G45" s="78">
        <f>TRUNC(F45*1.2247,2)</f>
        <v>2779.7</v>
      </c>
      <c r="H45" s="78">
        <f>TRUNC((E45*F45),2)</f>
        <v>2496.67</v>
      </c>
      <c r="I45" s="78">
        <f>TRUNC((E45*G45),2)</f>
        <v>3057.67</v>
      </c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</row>
    <row r="46" spans="1:99" s="24" customFormat="1" ht="30">
      <c r="A46" s="81"/>
      <c r="B46" s="74" t="s">
        <v>214</v>
      </c>
      <c r="C46" s="82" t="s">
        <v>101</v>
      </c>
      <c r="D46" s="24" t="s">
        <v>66</v>
      </c>
      <c r="E46" s="24">
        <v>1</v>
      </c>
      <c r="F46" s="24">
        <f>TRUNC(386.80648,2)</f>
        <v>386.8</v>
      </c>
      <c r="G46" s="24">
        <f t="shared" ref="G46:G60" si="1">TRUNC(E46*F46,2)</f>
        <v>386.8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</row>
    <row r="47" spans="1:99">
      <c r="B47" t="s">
        <v>76</v>
      </c>
      <c r="C47" s="1" t="s">
        <v>77</v>
      </c>
      <c r="D47" t="s">
        <v>43</v>
      </c>
      <c r="E47">
        <v>12</v>
      </c>
      <c r="F47">
        <f>TRUNC(6.5615,2)</f>
        <v>6.56</v>
      </c>
      <c r="G47">
        <f t="shared" si="1"/>
        <v>78.72</v>
      </c>
    </row>
    <row r="48" spans="1:99">
      <c r="B48" t="s">
        <v>78</v>
      </c>
      <c r="C48" s="1" t="s">
        <v>79</v>
      </c>
      <c r="D48" t="s">
        <v>43</v>
      </c>
      <c r="E48">
        <v>10</v>
      </c>
      <c r="F48">
        <f>TRUNC(6.701,2)</f>
        <v>6.7</v>
      </c>
      <c r="G48">
        <f t="shared" si="1"/>
        <v>67</v>
      </c>
    </row>
    <row r="49" spans="1:99">
      <c r="B49" t="s">
        <v>80</v>
      </c>
      <c r="C49" s="1" t="s">
        <v>81</v>
      </c>
      <c r="D49" t="s">
        <v>43</v>
      </c>
      <c r="E49">
        <v>10</v>
      </c>
      <c r="F49">
        <f>TRUNC(6.1308,2)</f>
        <v>6.13</v>
      </c>
      <c r="G49">
        <f t="shared" si="1"/>
        <v>61.3</v>
      </c>
    </row>
    <row r="50" spans="1:99">
      <c r="B50" t="s">
        <v>82</v>
      </c>
      <c r="C50" s="1" t="s">
        <v>83</v>
      </c>
      <c r="D50" t="s">
        <v>43</v>
      </c>
      <c r="E50">
        <v>4</v>
      </c>
      <c r="F50">
        <f>TRUNC(6.1866,2)</f>
        <v>6.18</v>
      </c>
      <c r="G50">
        <f t="shared" si="1"/>
        <v>24.72</v>
      </c>
    </row>
    <row r="51" spans="1:99">
      <c r="B51" t="s">
        <v>84</v>
      </c>
      <c r="C51" s="1" t="s">
        <v>85</v>
      </c>
      <c r="D51" t="s">
        <v>43</v>
      </c>
      <c r="E51">
        <v>12</v>
      </c>
      <c r="F51">
        <f>TRUNC(6.1866,2)</f>
        <v>6.18</v>
      </c>
      <c r="G51">
        <f t="shared" si="1"/>
        <v>74.16</v>
      </c>
    </row>
    <row r="52" spans="1:99">
      <c r="B52" t="s">
        <v>86</v>
      </c>
      <c r="C52" s="1" t="s">
        <v>87</v>
      </c>
      <c r="D52" t="s">
        <v>43</v>
      </c>
      <c r="E52">
        <v>12</v>
      </c>
      <c r="F52">
        <f>TRUNC(6.2844,2)</f>
        <v>6.28</v>
      </c>
      <c r="G52">
        <f t="shared" si="1"/>
        <v>75.36</v>
      </c>
    </row>
    <row r="53" spans="1:99">
      <c r="B53" t="s">
        <v>88</v>
      </c>
      <c r="C53" s="1" t="s">
        <v>89</v>
      </c>
      <c r="D53" t="s">
        <v>43</v>
      </c>
      <c r="E53">
        <v>1.8</v>
      </c>
      <c r="F53">
        <f>TRUNC(7.35,2)</f>
        <v>7.35</v>
      </c>
      <c r="G53">
        <f t="shared" si="1"/>
        <v>13.23</v>
      </c>
    </row>
    <row r="54" spans="1:99">
      <c r="B54" t="s">
        <v>31</v>
      </c>
      <c r="C54" s="1" t="s">
        <v>32</v>
      </c>
      <c r="D54" t="s">
        <v>0</v>
      </c>
      <c r="E54">
        <v>9.4245000000000001</v>
      </c>
      <c r="F54">
        <f>TRUNC(15.69,2)</f>
        <v>15.69</v>
      </c>
      <c r="G54">
        <f t="shared" si="1"/>
        <v>147.87</v>
      </c>
    </row>
    <row r="55" spans="1:99">
      <c r="B55" t="s">
        <v>90</v>
      </c>
      <c r="C55" s="1" t="s">
        <v>91</v>
      </c>
      <c r="D55" t="s">
        <v>0</v>
      </c>
      <c r="E55">
        <v>6.3345000000000002</v>
      </c>
      <c r="F55">
        <f>TRUNC(21.67,2)</f>
        <v>21.67</v>
      </c>
      <c r="G55">
        <f t="shared" si="1"/>
        <v>137.26</v>
      </c>
    </row>
    <row r="56" spans="1:99">
      <c r="B56" t="s">
        <v>92</v>
      </c>
      <c r="C56" s="1" t="s">
        <v>93</v>
      </c>
      <c r="D56" t="s">
        <v>0</v>
      </c>
      <c r="E56">
        <v>0.51500000000000001</v>
      </c>
      <c r="F56">
        <f>TRUNC(21.67,2)</f>
        <v>21.67</v>
      </c>
      <c r="G56">
        <f t="shared" si="1"/>
        <v>11.16</v>
      </c>
    </row>
    <row r="57" spans="1:99">
      <c r="B57" t="s">
        <v>67</v>
      </c>
      <c r="C57" s="1" t="s">
        <v>68</v>
      </c>
      <c r="D57" t="s">
        <v>0</v>
      </c>
      <c r="E57">
        <v>0.51500000000000001</v>
      </c>
      <c r="F57">
        <f>TRUNC(21.67,2)</f>
        <v>21.67</v>
      </c>
      <c r="G57">
        <f t="shared" si="1"/>
        <v>11.16</v>
      </c>
    </row>
    <row r="58" spans="1:99">
      <c r="B58" t="s">
        <v>94</v>
      </c>
      <c r="C58" s="1" t="s">
        <v>95</v>
      </c>
      <c r="D58" t="s">
        <v>27</v>
      </c>
      <c r="E58">
        <v>14</v>
      </c>
      <c r="F58">
        <f>TRUNC(84.3186,2)</f>
        <v>84.31</v>
      </c>
      <c r="G58">
        <f t="shared" si="1"/>
        <v>1180.3399999999999</v>
      </c>
    </row>
    <row r="59" spans="1:99">
      <c r="B59" t="s">
        <v>96</v>
      </c>
      <c r="C59" s="1" t="s">
        <v>97</v>
      </c>
      <c r="D59" t="s">
        <v>0</v>
      </c>
      <c r="E59">
        <v>0.80500000000000005</v>
      </c>
      <c r="F59">
        <f>TRUNC(0.2627,2)</f>
        <v>0.26</v>
      </c>
      <c r="G59">
        <f t="shared" si="1"/>
        <v>0.2</v>
      </c>
    </row>
    <row r="60" spans="1:99">
      <c r="B60" t="s">
        <v>98</v>
      </c>
      <c r="C60" s="1" t="s">
        <v>99</v>
      </c>
      <c r="D60" t="s">
        <v>0</v>
      </c>
      <c r="E60">
        <v>0.34499999999999997</v>
      </c>
      <c r="F60">
        <f>TRUNC(1.2297,2)</f>
        <v>1.22</v>
      </c>
      <c r="G60">
        <f t="shared" si="1"/>
        <v>0.42</v>
      </c>
    </row>
    <row r="61" spans="1:99">
      <c r="E61" t="s">
        <v>1</v>
      </c>
      <c r="G61">
        <f>TRUNC(SUM(G46:G60),2)</f>
        <v>2269.6999999999998</v>
      </c>
    </row>
    <row r="62" spans="1:99" s="76" customFormat="1">
      <c r="A62" s="92" t="s">
        <v>62</v>
      </c>
      <c r="C62" s="93"/>
      <c r="F62" s="76" t="s">
        <v>63</v>
      </c>
      <c r="H62" s="76">
        <f>SUM(H45)</f>
        <v>2496.67</v>
      </c>
      <c r="I62" s="76">
        <f>SUM(I45)</f>
        <v>3057.67</v>
      </c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</row>
    <row r="63" spans="1:99" s="91" customFormat="1" ht="15.75">
      <c r="A63" s="84" t="s">
        <v>74</v>
      </c>
      <c r="B63" s="85"/>
      <c r="C63" s="86" t="s">
        <v>194</v>
      </c>
      <c r="D63" s="85"/>
      <c r="E63" s="85"/>
      <c r="F63" s="85"/>
      <c r="G63" s="87"/>
      <c r="H63" s="88"/>
      <c r="I63" s="89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</row>
    <row r="64" spans="1:99" s="78" customFormat="1" ht="60">
      <c r="A64" s="79" t="s">
        <v>103</v>
      </c>
      <c r="B64" s="83" t="s">
        <v>105</v>
      </c>
      <c r="C64" s="80" t="s">
        <v>106</v>
      </c>
      <c r="D64" s="78" t="s">
        <v>27</v>
      </c>
      <c r="E64" s="78">
        <v>7.5</v>
      </c>
      <c r="F64" s="78">
        <f>TRUNC(G70,2)</f>
        <v>46.64</v>
      </c>
      <c r="G64" s="78">
        <f>TRUNC(F64*1.2247,2)</f>
        <v>57.12</v>
      </c>
      <c r="H64" s="78">
        <f>TRUNC((E64*F64),2)</f>
        <v>349.8</v>
      </c>
      <c r="I64" s="78">
        <f>TRUNC((E64*G64),2)</f>
        <v>428.4</v>
      </c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</row>
    <row r="65" spans="1:99">
      <c r="B65" t="s">
        <v>107</v>
      </c>
      <c r="C65" s="1" t="s">
        <v>108</v>
      </c>
      <c r="D65" t="s">
        <v>3</v>
      </c>
      <c r="E65">
        <v>17</v>
      </c>
      <c r="F65">
        <f>TRUNC(1.05,2)</f>
        <v>1.05</v>
      </c>
      <c r="G65">
        <f>TRUNC(E65*F65,2)</f>
        <v>17.850000000000001</v>
      </c>
    </row>
    <row r="66" spans="1:99">
      <c r="B66" t="s">
        <v>109</v>
      </c>
      <c r="C66" s="1" t="s">
        <v>110</v>
      </c>
      <c r="D66" t="s">
        <v>3</v>
      </c>
      <c r="E66">
        <v>1</v>
      </c>
      <c r="F66">
        <f>TRUNC(0.63,2)</f>
        <v>0.63</v>
      </c>
      <c r="G66">
        <f>TRUNC(E66*F66,2)</f>
        <v>0.63</v>
      </c>
    </row>
    <row r="67" spans="1:99">
      <c r="B67" t="s">
        <v>31</v>
      </c>
      <c r="C67" s="1" t="s">
        <v>32</v>
      </c>
      <c r="D67" t="s">
        <v>0</v>
      </c>
      <c r="E67">
        <v>0.41200000000000003</v>
      </c>
      <c r="F67">
        <f>TRUNC(15.69,2)</f>
        <v>15.69</v>
      </c>
      <c r="G67">
        <f>TRUNC(E67*F67,2)</f>
        <v>6.46</v>
      </c>
    </row>
    <row r="68" spans="1:99">
      <c r="B68" t="s">
        <v>67</v>
      </c>
      <c r="C68" s="1" t="s">
        <v>68</v>
      </c>
      <c r="D68" t="s">
        <v>0</v>
      </c>
      <c r="E68">
        <v>0.83430000000000004</v>
      </c>
      <c r="F68">
        <f>TRUNC(21.67,2)</f>
        <v>21.67</v>
      </c>
      <c r="G68">
        <f>TRUNC(E68*F68,2)</f>
        <v>18.07</v>
      </c>
    </row>
    <row r="69" spans="1:99">
      <c r="B69" t="s">
        <v>111</v>
      </c>
      <c r="C69" s="1" t="s">
        <v>112</v>
      </c>
      <c r="D69" t="s">
        <v>66</v>
      </c>
      <c r="E69">
        <v>0.01</v>
      </c>
      <c r="F69">
        <f>TRUNC(363.395,2)</f>
        <v>363.39</v>
      </c>
      <c r="G69">
        <f>TRUNC(E69*F69,2)</f>
        <v>3.63</v>
      </c>
    </row>
    <row r="70" spans="1:99">
      <c r="E70" t="s">
        <v>1</v>
      </c>
      <c r="G70">
        <f>TRUNC(SUM(G65:G69),2)</f>
        <v>46.64</v>
      </c>
    </row>
    <row r="71" spans="1:99" s="78" customFormat="1" ht="45">
      <c r="A71" s="79" t="s">
        <v>104</v>
      </c>
      <c r="B71" s="83" t="s">
        <v>113</v>
      </c>
      <c r="C71" s="80" t="s">
        <v>114</v>
      </c>
      <c r="D71" s="78" t="s">
        <v>27</v>
      </c>
      <c r="E71" s="78">
        <v>34</v>
      </c>
      <c r="F71" s="78">
        <f>TRUNC(G76,2)</f>
        <v>30.32</v>
      </c>
      <c r="G71" s="78">
        <f>TRUNC(F71*1.2247,2)</f>
        <v>37.130000000000003</v>
      </c>
      <c r="H71" s="78">
        <f>TRUNC((E71*F71),2)</f>
        <v>1030.8800000000001</v>
      </c>
      <c r="I71" s="78">
        <f>TRUNC((E71*G71),2)</f>
        <v>1262.42</v>
      </c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</row>
    <row r="72" spans="1:99">
      <c r="B72" t="s">
        <v>31</v>
      </c>
      <c r="C72" s="1" t="s">
        <v>32</v>
      </c>
      <c r="D72" t="s">
        <v>0</v>
      </c>
      <c r="E72">
        <v>0.41200000000000003</v>
      </c>
      <c r="F72">
        <f>TRUNC(15.69,2)</f>
        <v>15.69</v>
      </c>
      <c r="G72">
        <f>TRUNC(E72*F72,2)</f>
        <v>6.46</v>
      </c>
    </row>
    <row r="73" spans="1:99">
      <c r="B73" t="s">
        <v>67</v>
      </c>
      <c r="C73" s="1" t="s">
        <v>68</v>
      </c>
      <c r="D73" t="s">
        <v>0</v>
      </c>
      <c r="E73">
        <v>0.41200000000000003</v>
      </c>
      <c r="F73">
        <f>TRUNC(21.67,2)</f>
        <v>21.67</v>
      </c>
      <c r="G73">
        <f>TRUNC(E73*F73,2)</f>
        <v>8.92</v>
      </c>
    </row>
    <row r="74" spans="1:99">
      <c r="B74" t="s">
        <v>115</v>
      </c>
      <c r="C74" s="1" t="s">
        <v>116</v>
      </c>
      <c r="D74" t="s">
        <v>27</v>
      </c>
      <c r="E74">
        <v>1</v>
      </c>
      <c r="F74">
        <f>TRUNC(5.686,2)</f>
        <v>5.68</v>
      </c>
      <c r="G74">
        <f>TRUNC(E74*F74,2)</f>
        <v>5.68</v>
      </c>
    </row>
    <row r="75" spans="1:99">
      <c r="B75" t="s">
        <v>117</v>
      </c>
      <c r="C75" s="1" t="s">
        <v>118</v>
      </c>
      <c r="D75" t="s">
        <v>66</v>
      </c>
      <c r="E75">
        <v>0.03</v>
      </c>
      <c r="F75">
        <f>TRUNC(308.7489,2)</f>
        <v>308.74</v>
      </c>
      <c r="G75">
        <f>TRUNC(E75*F75,2)</f>
        <v>9.26</v>
      </c>
    </row>
    <row r="76" spans="1:99">
      <c r="E76" t="s">
        <v>1</v>
      </c>
      <c r="G76">
        <f>TRUNC(SUM(G72:G75),2)</f>
        <v>30.32</v>
      </c>
    </row>
    <row r="77" spans="1:99" s="76" customFormat="1">
      <c r="A77" s="92" t="s">
        <v>62</v>
      </c>
      <c r="C77" s="93"/>
      <c r="F77" s="76" t="s">
        <v>63</v>
      </c>
      <c r="H77" s="76">
        <f>SUM(H64:H71)</f>
        <v>1380.68</v>
      </c>
      <c r="I77" s="76">
        <f>SUM(I64:I71)</f>
        <v>1690.8200000000002</v>
      </c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</row>
    <row r="78" spans="1:99" s="91" customFormat="1" ht="15.75">
      <c r="A78" s="84" t="s">
        <v>102</v>
      </c>
      <c r="B78" s="85"/>
      <c r="C78" s="86" t="s">
        <v>311</v>
      </c>
      <c r="D78" s="85"/>
      <c r="E78" s="85"/>
      <c r="F78" s="85"/>
      <c r="G78" s="87"/>
      <c r="H78" s="88"/>
      <c r="I78" s="89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</row>
    <row r="79" spans="1:99" s="78" customFormat="1" ht="135">
      <c r="A79" s="79" t="s">
        <v>119</v>
      </c>
      <c r="B79" s="83" t="s">
        <v>26</v>
      </c>
      <c r="C79" s="80" t="s">
        <v>301</v>
      </c>
      <c r="D79" s="78" t="s">
        <v>27</v>
      </c>
      <c r="E79" s="78">
        <v>25.58</v>
      </c>
      <c r="F79" s="78">
        <f>TRUNC(G87+G83,2)</f>
        <v>380.66</v>
      </c>
      <c r="G79" s="78">
        <f>TRUNC(F79*1.2247,2)</f>
        <v>466.19</v>
      </c>
      <c r="H79" s="78">
        <f>TRUNC((E79*F79),2)</f>
        <v>9737.2800000000007</v>
      </c>
      <c r="I79" s="78">
        <f>TRUNC((E79*G79),2)</f>
        <v>11925.14</v>
      </c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</row>
    <row r="80" spans="1:99">
      <c r="B80" t="s">
        <v>217</v>
      </c>
      <c r="C80" s="1" t="s">
        <v>28</v>
      </c>
      <c r="D80" t="s">
        <v>27</v>
      </c>
      <c r="E80">
        <v>0</v>
      </c>
      <c r="F80">
        <f>TRUNC(136.2,2)</f>
        <v>136.19999999999999</v>
      </c>
      <c r="G80">
        <f>TRUNC(E80*F80,2)</f>
        <v>0</v>
      </c>
    </row>
    <row r="81" spans="1:99">
      <c r="B81" t="s">
        <v>29</v>
      </c>
      <c r="C81" s="1" t="s">
        <v>30</v>
      </c>
      <c r="D81" t="s">
        <v>0</v>
      </c>
      <c r="E81">
        <v>3.4505000000000003</v>
      </c>
      <c r="F81">
        <f>TRUNC(23.32,2)</f>
        <v>23.32</v>
      </c>
      <c r="G81">
        <f>TRUNC(E81*F81,2)</f>
        <v>80.459999999999994</v>
      </c>
    </row>
    <row r="82" spans="1:99">
      <c r="B82" t="s">
        <v>31</v>
      </c>
      <c r="C82" s="1" t="s">
        <v>32</v>
      </c>
      <c r="D82" t="s">
        <v>0</v>
      </c>
      <c r="E82">
        <v>3.4505000000000003</v>
      </c>
      <c r="F82">
        <f>TRUNC(15.69,2)</f>
        <v>15.69</v>
      </c>
      <c r="G82">
        <f>TRUNC(E82*F82,2)</f>
        <v>54.13</v>
      </c>
    </row>
    <row r="83" spans="1:99">
      <c r="E83" t="s">
        <v>1</v>
      </c>
      <c r="G83">
        <f>TRUNC(SUM(G80:G82),2)</f>
        <v>134.59</v>
      </c>
    </row>
    <row r="84" spans="1:99" ht="30">
      <c r="B84" t="s">
        <v>207</v>
      </c>
      <c r="C84" s="1" t="s">
        <v>201</v>
      </c>
      <c r="D84" t="s">
        <v>202</v>
      </c>
      <c r="E84">
        <v>6584</v>
      </c>
    </row>
    <row r="85" spans="1:99" ht="30">
      <c r="B85" t="s">
        <v>209</v>
      </c>
      <c r="C85" s="1" t="s">
        <v>201</v>
      </c>
      <c r="D85" t="s">
        <v>202</v>
      </c>
      <c r="E85">
        <v>6591.2</v>
      </c>
    </row>
    <row r="86" spans="1:99" ht="30">
      <c r="B86" t="s">
        <v>210</v>
      </c>
      <c r="C86" s="1" t="s">
        <v>201</v>
      </c>
      <c r="D86" t="s">
        <v>202</v>
      </c>
      <c r="E86">
        <v>5708.5</v>
      </c>
    </row>
    <row r="87" spans="1:99">
      <c r="D87" t="s">
        <v>211</v>
      </c>
      <c r="E87">
        <f>(E84+E85+E86)/3</f>
        <v>6294.5666666666666</v>
      </c>
      <c r="F87" t="s">
        <v>218</v>
      </c>
      <c r="G87">
        <f>E87/25.58</f>
        <v>246.07375553818088</v>
      </c>
    </row>
    <row r="88" spans="1:99" s="78" customFormat="1" ht="135">
      <c r="A88" s="79" t="s">
        <v>120</v>
      </c>
      <c r="B88" s="83" t="s">
        <v>26</v>
      </c>
      <c r="C88" s="80" t="s">
        <v>302</v>
      </c>
      <c r="D88" s="78" t="s">
        <v>27</v>
      </c>
      <c r="E88" s="78">
        <v>5.12</v>
      </c>
      <c r="F88" s="78">
        <f>TRUNC(G92+G96,2)</f>
        <v>1007.96</v>
      </c>
      <c r="G88" s="78">
        <f>TRUNC(F88*1.2247,2)</f>
        <v>1234.44</v>
      </c>
      <c r="H88" s="78">
        <f>TRUNC((E88*F88),2)</f>
        <v>5160.75</v>
      </c>
      <c r="I88" s="78">
        <f>TRUNC((E88*G88),2)</f>
        <v>6320.33</v>
      </c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</row>
    <row r="89" spans="1:99">
      <c r="B89" t="s">
        <v>217</v>
      </c>
      <c r="C89" s="1" t="s">
        <v>28</v>
      </c>
      <c r="D89" t="s">
        <v>27</v>
      </c>
      <c r="E89">
        <v>0</v>
      </c>
      <c r="F89">
        <f>TRUNC(136.2,2)</f>
        <v>136.19999999999999</v>
      </c>
      <c r="G89">
        <f>TRUNC(E89*F89,2)</f>
        <v>0</v>
      </c>
    </row>
    <row r="90" spans="1:99">
      <c r="B90" t="s">
        <v>29</v>
      </c>
      <c r="C90" s="1" t="s">
        <v>30</v>
      </c>
      <c r="D90" t="s">
        <v>0</v>
      </c>
      <c r="E90">
        <v>3.4505000000000003</v>
      </c>
      <c r="F90">
        <f>TRUNC(23.32,2)</f>
        <v>23.32</v>
      </c>
      <c r="G90">
        <f>TRUNC(E90*F90,2)</f>
        <v>80.459999999999994</v>
      </c>
    </row>
    <row r="91" spans="1:99">
      <c r="B91" t="s">
        <v>31</v>
      </c>
      <c r="C91" s="1" t="s">
        <v>32</v>
      </c>
      <c r="D91" t="s">
        <v>0</v>
      </c>
      <c r="E91">
        <v>3.4505000000000003</v>
      </c>
      <c r="F91">
        <f>TRUNC(15.69,2)</f>
        <v>15.69</v>
      </c>
      <c r="G91">
        <f>TRUNC(E91*F91,2)</f>
        <v>54.13</v>
      </c>
    </row>
    <row r="92" spans="1:99">
      <c r="E92" t="s">
        <v>1</v>
      </c>
      <c r="G92">
        <f>TRUNC(SUM(G89:G91),2)</f>
        <v>134.59</v>
      </c>
    </row>
    <row r="93" spans="1:99">
      <c r="B93" t="s">
        <v>207</v>
      </c>
      <c r="C93" s="1" t="s">
        <v>208</v>
      </c>
      <c r="D93" t="s">
        <v>3</v>
      </c>
      <c r="E93">
        <v>4092</v>
      </c>
    </row>
    <row r="94" spans="1:99">
      <c r="B94" t="s">
        <v>209</v>
      </c>
      <c r="C94" s="1" t="s">
        <v>208</v>
      </c>
      <c r="D94" t="s">
        <v>3</v>
      </c>
      <c r="E94">
        <v>7482.64</v>
      </c>
    </row>
    <row r="95" spans="1:99">
      <c r="B95" t="s">
        <v>210</v>
      </c>
      <c r="C95" s="1" t="s">
        <v>208</v>
      </c>
      <c r="D95" t="s">
        <v>3</v>
      </c>
      <c r="E95">
        <v>4200</v>
      </c>
    </row>
    <row r="96" spans="1:99">
      <c r="D96" t="s">
        <v>211</v>
      </c>
      <c r="E96">
        <f>(E93+E94+E95)/3</f>
        <v>5258.2133333333331</v>
      </c>
      <c r="F96" t="s">
        <v>218</v>
      </c>
      <c r="G96">
        <v>873.3789507983056</v>
      </c>
    </row>
    <row r="97" spans="1:99" s="76" customFormat="1">
      <c r="A97" s="92" t="s">
        <v>24</v>
      </c>
      <c r="C97" s="93"/>
      <c r="D97" s="76" t="s">
        <v>63</v>
      </c>
      <c r="H97" s="76">
        <f>SUM(H79:H88)</f>
        <v>14898.03</v>
      </c>
      <c r="I97" s="76">
        <f>SUM(I79:I88)</f>
        <v>18245.47</v>
      </c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</row>
    <row r="98" spans="1:99" s="91" customFormat="1" ht="15.75">
      <c r="A98" s="84" t="s">
        <v>121</v>
      </c>
      <c r="B98" s="85"/>
      <c r="C98" s="86" t="s">
        <v>195</v>
      </c>
      <c r="D98" s="85"/>
      <c r="E98" s="85"/>
      <c r="F98" s="85"/>
      <c r="G98" s="87"/>
      <c r="H98" s="88"/>
      <c r="I98" s="89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M98" s="90"/>
      <c r="CN98" s="90"/>
      <c r="CO98" s="90"/>
      <c r="CP98" s="90"/>
      <c r="CQ98" s="90"/>
      <c r="CR98" s="90"/>
      <c r="CS98" s="90"/>
      <c r="CT98" s="90"/>
      <c r="CU98" s="90"/>
    </row>
    <row r="99" spans="1:99" s="78" customFormat="1" ht="60">
      <c r="A99" s="79" t="s">
        <v>122</v>
      </c>
      <c r="B99" s="83" t="s">
        <v>123</v>
      </c>
      <c r="C99" s="80" t="s">
        <v>124</v>
      </c>
      <c r="D99" s="78" t="s">
        <v>27</v>
      </c>
      <c r="E99" s="78">
        <v>34</v>
      </c>
      <c r="F99" s="78">
        <f>TRUNC(G105,2)</f>
        <v>16.239999999999998</v>
      </c>
      <c r="G99" s="78">
        <f>TRUNC(F99*1.2247,2)</f>
        <v>19.88</v>
      </c>
      <c r="H99" s="78">
        <f>TRUNC((E99*F99),2)</f>
        <v>552.16</v>
      </c>
      <c r="I99" s="78">
        <f>TRUNC((E99*G99),2)</f>
        <v>675.92</v>
      </c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77"/>
      <c r="BY99" s="77"/>
      <c r="BZ99" s="77"/>
      <c r="CA99" s="77"/>
      <c r="CB99" s="77"/>
      <c r="CC99" s="77"/>
      <c r="CD99" s="77"/>
      <c r="CE99" s="77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7"/>
      <c r="CR99" s="77"/>
      <c r="CS99" s="77"/>
      <c r="CT99" s="77"/>
      <c r="CU99" s="77"/>
    </row>
    <row r="100" spans="1:99">
      <c r="B100" t="s">
        <v>125</v>
      </c>
      <c r="C100" s="1" t="s">
        <v>126</v>
      </c>
      <c r="D100" t="s">
        <v>3</v>
      </c>
      <c r="E100">
        <v>0.5</v>
      </c>
      <c r="F100">
        <f>TRUNC(0.81,2)</f>
        <v>0.81</v>
      </c>
      <c r="G100">
        <f>TRUNC(E100*F100,2)</f>
        <v>0.4</v>
      </c>
    </row>
    <row r="101" spans="1:99">
      <c r="B101" t="s">
        <v>127</v>
      </c>
      <c r="C101" s="1" t="s">
        <v>128</v>
      </c>
      <c r="D101" t="s">
        <v>49</v>
      </c>
      <c r="E101">
        <v>0.04</v>
      </c>
      <c r="F101">
        <f>TRUNC(14.51,2)</f>
        <v>14.51</v>
      </c>
      <c r="G101">
        <f>TRUNC(E101*F101,2)</f>
        <v>0.57999999999999996</v>
      </c>
    </row>
    <row r="102" spans="1:99" ht="30">
      <c r="B102" t="s">
        <v>129</v>
      </c>
      <c r="C102" s="1" t="s">
        <v>130</v>
      </c>
      <c r="D102" t="s">
        <v>3</v>
      </c>
      <c r="E102">
        <v>1.2E-2</v>
      </c>
      <c r="F102">
        <f>TRUNC(386.15,2)</f>
        <v>386.15</v>
      </c>
      <c r="G102">
        <f>TRUNC(E102*F102,2)</f>
        <v>4.63</v>
      </c>
    </row>
    <row r="103" spans="1:99">
      <c r="B103" t="s">
        <v>31</v>
      </c>
      <c r="C103" s="1" t="s">
        <v>32</v>
      </c>
      <c r="D103" t="s">
        <v>0</v>
      </c>
      <c r="E103">
        <v>0.18024999999999999</v>
      </c>
      <c r="F103">
        <f>TRUNC(15.69,2)</f>
        <v>15.69</v>
      </c>
      <c r="G103">
        <f>TRUNC(E103*F103,2)</f>
        <v>2.82</v>
      </c>
    </row>
    <row r="104" spans="1:99">
      <c r="B104" t="s">
        <v>54</v>
      </c>
      <c r="C104" s="1" t="s">
        <v>55</v>
      </c>
      <c r="D104" t="s">
        <v>0</v>
      </c>
      <c r="E104">
        <v>0.36049999999999999</v>
      </c>
      <c r="F104">
        <f>TRUNC(21.67,2)</f>
        <v>21.67</v>
      </c>
      <c r="G104">
        <f>TRUNC(E104*F104,2)</f>
        <v>7.81</v>
      </c>
    </row>
    <row r="105" spans="1:99">
      <c r="E105" t="s">
        <v>1</v>
      </c>
      <c r="G105">
        <f>TRUNC(SUM(G100:G104),2)</f>
        <v>16.239999999999998</v>
      </c>
    </row>
    <row r="106" spans="1:99" s="76" customFormat="1">
      <c r="A106" s="92" t="s">
        <v>24</v>
      </c>
      <c r="C106" s="93"/>
      <c r="D106" s="76" t="s">
        <v>63</v>
      </c>
      <c r="H106" s="76">
        <f>SUM(H99)</f>
        <v>552.16</v>
      </c>
      <c r="I106" s="76">
        <f>SUM(I99)</f>
        <v>675.92</v>
      </c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  <c r="CH106" s="75"/>
      <c r="CI106" s="75"/>
      <c r="CJ106" s="75"/>
      <c r="CK106" s="75"/>
      <c r="CL106" s="75"/>
      <c r="CM106" s="75"/>
      <c r="CN106" s="75"/>
      <c r="CO106" s="75"/>
      <c r="CP106" s="75"/>
      <c r="CQ106" s="75"/>
      <c r="CR106" s="75"/>
      <c r="CS106" s="75"/>
      <c r="CT106" s="75"/>
      <c r="CU106" s="75"/>
    </row>
    <row r="107" spans="1:99" s="91" customFormat="1" ht="15.75">
      <c r="A107" s="84" t="s">
        <v>133</v>
      </c>
      <c r="B107" s="85"/>
      <c r="C107" s="86" t="s">
        <v>309</v>
      </c>
      <c r="D107" s="85"/>
      <c r="E107" s="85"/>
      <c r="F107" s="85"/>
      <c r="G107" s="87"/>
      <c r="H107" s="88"/>
      <c r="I107" s="89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0"/>
      <c r="CB107" s="90"/>
      <c r="CC107" s="90"/>
      <c r="CD107" s="90"/>
      <c r="CE107" s="90"/>
      <c r="CF107" s="90"/>
      <c r="CG107" s="90"/>
      <c r="CH107" s="90"/>
      <c r="CI107" s="90"/>
      <c r="CJ107" s="90"/>
      <c r="CK107" s="90"/>
      <c r="CL107" s="90"/>
      <c r="CM107" s="90"/>
      <c r="CN107" s="90"/>
      <c r="CO107" s="90"/>
      <c r="CP107" s="90"/>
      <c r="CQ107" s="90"/>
      <c r="CR107" s="90"/>
      <c r="CS107" s="90"/>
      <c r="CT107" s="90"/>
      <c r="CU107" s="90"/>
    </row>
    <row r="108" spans="1:99" s="78" customFormat="1" ht="45">
      <c r="A108" s="79" t="s">
        <v>134</v>
      </c>
      <c r="B108" s="83" t="s">
        <v>71</v>
      </c>
      <c r="C108" s="80" t="s">
        <v>72</v>
      </c>
      <c r="D108" s="78" t="s">
        <v>27</v>
      </c>
      <c r="E108" s="78">
        <v>72</v>
      </c>
      <c r="F108" s="78">
        <f>TRUNC(G110,2)</f>
        <v>11.31</v>
      </c>
      <c r="G108" s="78">
        <f>TRUNC(F108*1.2247,2)</f>
        <v>13.85</v>
      </c>
      <c r="H108" s="78">
        <f>TRUNC((E108*F108),2)</f>
        <v>814.32</v>
      </c>
      <c r="I108" s="78">
        <f>TRUNC((E108*G108),2)</f>
        <v>997.2</v>
      </c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7"/>
      <c r="BY108" s="77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7"/>
      <c r="CR108" s="77"/>
      <c r="CS108" s="77"/>
      <c r="CT108" s="77"/>
      <c r="CU108" s="77"/>
    </row>
    <row r="109" spans="1:99">
      <c r="B109" t="s">
        <v>31</v>
      </c>
      <c r="C109" s="1" t="s">
        <v>32</v>
      </c>
      <c r="D109" t="s">
        <v>0</v>
      </c>
      <c r="E109">
        <v>0.72099999999999997</v>
      </c>
      <c r="F109">
        <f>TRUNC(15.69,2)</f>
        <v>15.69</v>
      </c>
      <c r="G109">
        <f>TRUNC(E109*F109,2)</f>
        <v>11.31</v>
      </c>
    </row>
    <row r="110" spans="1:99">
      <c r="E110" t="s">
        <v>1</v>
      </c>
      <c r="G110">
        <f>TRUNC(SUM(G109:G109),2)</f>
        <v>11.31</v>
      </c>
    </row>
    <row r="111" spans="1:99" s="78" customFormat="1" ht="30">
      <c r="A111" s="79" t="s">
        <v>135</v>
      </c>
      <c r="B111" s="83" t="s">
        <v>139</v>
      </c>
      <c r="C111" s="80" t="s">
        <v>140</v>
      </c>
      <c r="D111" s="78" t="s">
        <v>46</v>
      </c>
      <c r="E111" s="78">
        <v>21</v>
      </c>
      <c r="F111" s="78">
        <f>TRUNC(G113,2)</f>
        <v>17.77</v>
      </c>
      <c r="G111" s="78">
        <f>TRUNC(F111*1.2247,2)</f>
        <v>21.76</v>
      </c>
      <c r="H111" s="78">
        <f>TRUNC((E111*F111),2)</f>
        <v>373.17</v>
      </c>
      <c r="I111" s="78">
        <f>TRUNC((E111*G111),2)</f>
        <v>456.96</v>
      </c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</row>
    <row r="112" spans="1:99">
      <c r="B112" t="s">
        <v>31</v>
      </c>
      <c r="C112" s="1" t="s">
        <v>32</v>
      </c>
      <c r="D112" t="s">
        <v>0</v>
      </c>
      <c r="E112">
        <v>1.1330000000000002</v>
      </c>
      <c r="F112">
        <f>TRUNC(15.69,2)</f>
        <v>15.69</v>
      </c>
      <c r="G112">
        <f>TRUNC(E112*F112,2)</f>
        <v>17.77</v>
      </c>
    </row>
    <row r="113" spans="1:99">
      <c r="E113" t="s">
        <v>1</v>
      </c>
      <c r="G113">
        <f>TRUNC(SUM(G112:G112),2)</f>
        <v>17.77</v>
      </c>
    </row>
    <row r="114" spans="1:99" s="78" customFormat="1" ht="66.75" customHeight="1">
      <c r="A114" s="79" t="s">
        <v>136</v>
      </c>
      <c r="B114" s="83" t="s">
        <v>141</v>
      </c>
      <c r="C114" s="80" t="s">
        <v>142</v>
      </c>
      <c r="D114" s="78" t="s">
        <v>46</v>
      </c>
      <c r="E114" s="78">
        <v>21</v>
      </c>
      <c r="F114" s="78">
        <f>TRUNC(G122,2)</f>
        <v>61.55</v>
      </c>
      <c r="G114" s="78">
        <f>TRUNC(F114*1.2247,2)</f>
        <v>75.38</v>
      </c>
      <c r="H114" s="78">
        <f>TRUNC((E114*F114),2)</f>
        <v>1292.55</v>
      </c>
      <c r="I114" s="78">
        <f>TRUNC((E114*G114),2)</f>
        <v>1582.98</v>
      </c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7"/>
      <c r="BY114" s="77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7"/>
      <c r="CR114" s="77"/>
      <c r="CS114" s="77"/>
      <c r="CT114" s="77"/>
      <c r="CU114" s="77"/>
    </row>
    <row r="115" spans="1:99">
      <c r="B115" t="s">
        <v>31</v>
      </c>
      <c r="C115" s="1" t="s">
        <v>32</v>
      </c>
      <c r="D115" t="s">
        <v>0</v>
      </c>
      <c r="E115">
        <v>1.3729899999999999</v>
      </c>
      <c r="F115">
        <f>TRUNC(15.69,2)</f>
        <v>15.69</v>
      </c>
      <c r="G115">
        <f t="shared" ref="G115:G121" si="2">TRUNC(E115*F115,2)</f>
        <v>21.54</v>
      </c>
    </row>
    <row r="116" spans="1:99">
      <c r="B116" t="s">
        <v>143</v>
      </c>
      <c r="C116" s="1" t="s">
        <v>144</v>
      </c>
      <c r="D116" t="s">
        <v>0</v>
      </c>
      <c r="E116">
        <v>0.17201000000000002</v>
      </c>
      <c r="F116">
        <f>TRUNC(21.67,2)</f>
        <v>21.67</v>
      </c>
      <c r="G116">
        <f t="shared" si="2"/>
        <v>3.72</v>
      </c>
    </row>
    <row r="117" spans="1:99">
      <c r="B117" t="s">
        <v>145</v>
      </c>
      <c r="C117" s="1" t="s">
        <v>146</v>
      </c>
      <c r="D117" t="s">
        <v>66</v>
      </c>
      <c r="E117">
        <v>4.2000000000000003E-2</v>
      </c>
      <c r="F117">
        <f>TRUNC(70.6971,2)</f>
        <v>70.69</v>
      </c>
      <c r="G117">
        <f t="shared" si="2"/>
        <v>2.96</v>
      </c>
    </row>
    <row r="118" spans="1:99">
      <c r="B118" t="s">
        <v>147</v>
      </c>
      <c r="C118" s="1" t="s">
        <v>148</v>
      </c>
      <c r="D118" t="s">
        <v>66</v>
      </c>
      <c r="E118">
        <v>4.2000000000000003E-2</v>
      </c>
      <c r="F118">
        <f>TRUNC(59.9579,2)</f>
        <v>59.95</v>
      </c>
      <c r="G118">
        <f t="shared" si="2"/>
        <v>2.5099999999999998</v>
      </c>
    </row>
    <row r="119" spans="1:99">
      <c r="B119" t="s">
        <v>149</v>
      </c>
      <c r="C119" s="1" t="s">
        <v>150</v>
      </c>
      <c r="D119" t="s">
        <v>27</v>
      </c>
      <c r="E119">
        <v>0.62</v>
      </c>
      <c r="F119">
        <f>TRUNC(29.9897,2)</f>
        <v>29.98</v>
      </c>
      <c r="G119">
        <f t="shared" si="2"/>
        <v>18.579999999999998</v>
      </c>
    </row>
    <row r="120" spans="1:99">
      <c r="B120" t="s">
        <v>151</v>
      </c>
      <c r="C120" s="1" t="s">
        <v>152</v>
      </c>
      <c r="D120" t="s">
        <v>66</v>
      </c>
      <c r="E120">
        <v>4.2000000000000003E-2</v>
      </c>
      <c r="F120">
        <f>TRUNC(270.9799,2)</f>
        <v>270.97000000000003</v>
      </c>
      <c r="G120">
        <f t="shared" si="2"/>
        <v>11.38</v>
      </c>
    </row>
    <row r="121" spans="1:99">
      <c r="B121" t="s">
        <v>153</v>
      </c>
      <c r="C121" s="1" t="s">
        <v>154</v>
      </c>
      <c r="D121" t="s">
        <v>66</v>
      </c>
      <c r="E121">
        <v>2.5000000000000001E-3</v>
      </c>
      <c r="F121">
        <f>TRUNC(346.5847,2)</f>
        <v>346.58</v>
      </c>
      <c r="G121">
        <f t="shared" si="2"/>
        <v>0.86</v>
      </c>
    </row>
    <row r="122" spans="1:99">
      <c r="E122" t="s">
        <v>1</v>
      </c>
      <c r="G122">
        <f>TRUNC(SUM(G115:G121),2)</f>
        <v>61.55</v>
      </c>
    </row>
    <row r="123" spans="1:99" s="78" customFormat="1" ht="57" customHeight="1">
      <c r="A123" s="79" t="s">
        <v>137</v>
      </c>
      <c r="B123" s="83" t="s">
        <v>306</v>
      </c>
      <c r="C123" s="80" t="s">
        <v>305</v>
      </c>
      <c r="D123" s="78" t="s">
        <v>27</v>
      </c>
      <c r="E123" s="78">
        <v>125.5</v>
      </c>
      <c r="F123" s="78">
        <f>TRUNC(G132,2)</f>
        <v>75.150000000000006</v>
      </c>
      <c r="G123" s="78">
        <f>TRUNC(F123*1.2247,2)</f>
        <v>92.03</v>
      </c>
      <c r="H123" s="78">
        <f>TRUNC((E123*F123),2)</f>
        <v>9431.32</v>
      </c>
      <c r="I123" s="78">
        <f>TRUNC((E123*G123),2)</f>
        <v>11549.76</v>
      </c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  <c r="BU123" s="77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  <c r="CU123" s="77"/>
    </row>
    <row r="124" spans="1:99" s="24" customFormat="1" ht="30">
      <c r="A124" s="81"/>
      <c r="B124" s="24" t="s">
        <v>307</v>
      </c>
      <c r="C124" s="82" t="s">
        <v>304</v>
      </c>
      <c r="D124" s="24" t="s">
        <v>27</v>
      </c>
      <c r="E124" s="24">
        <v>1.1224000000000001</v>
      </c>
      <c r="F124" s="24">
        <v>6.64</v>
      </c>
      <c r="G124" s="24">
        <f t="shared" ref="G124:G130" si="3">TRUNC(E124*F124,2)</f>
        <v>7.45</v>
      </c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</row>
    <row r="125" spans="1:99">
      <c r="B125" t="s">
        <v>159</v>
      </c>
      <c r="C125" s="1" t="s">
        <v>160</v>
      </c>
      <c r="D125" t="s">
        <v>46</v>
      </c>
      <c r="E125">
        <v>0.2</v>
      </c>
      <c r="F125">
        <f>TRUNC(2.03,2)</f>
        <v>2.0299999999999998</v>
      </c>
      <c r="G125">
        <f t="shared" si="3"/>
        <v>0.4</v>
      </c>
    </row>
    <row r="126" spans="1:99">
      <c r="B126" t="s">
        <v>155</v>
      </c>
      <c r="C126" s="1" t="s">
        <v>156</v>
      </c>
      <c r="D126" t="s">
        <v>46</v>
      </c>
      <c r="E126">
        <v>0.25</v>
      </c>
      <c r="F126">
        <f>TRUNC(5.57,2)</f>
        <v>5.57</v>
      </c>
      <c r="G126">
        <f t="shared" si="3"/>
        <v>1.39</v>
      </c>
    </row>
    <row r="127" spans="1:99">
      <c r="B127" t="s">
        <v>157</v>
      </c>
      <c r="C127" s="1" t="s">
        <v>158</v>
      </c>
      <c r="D127" t="s">
        <v>27</v>
      </c>
      <c r="E127">
        <v>1.1279999999999999</v>
      </c>
      <c r="F127">
        <f>TRUNC(1,2)</f>
        <v>1</v>
      </c>
      <c r="G127">
        <f t="shared" si="3"/>
        <v>1.1200000000000001</v>
      </c>
    </row>
    <row r="128" spans="1:99">
      <c r="B128" t="s">
        <v>131</v>
      </c>
      <c r="C128" s="1" t="s">
        <v>132</v>
      </c>
      <c r="D128" t="s">
        <v>0</v>
      </c>
      <c r="E128">
        <v>0.55730000000000002</v>
      </c>
      <c r="F128">
        <f>TRUNC(22.56,2)</f>
        <v>22.56</v>
      </c>
      <c r="G128">
        <f t="shared" si="3"/>
        <v>12.57</v>
      </c>
    </row>
    <row r="129" spans="1:99">
      <c r="B129" t="s">
        <v>161</v>
      </c>
      <c r="C129" s="1" t="s">
        <v>162</v>
      </c>
      <c r="D129" t="s">
        <v>0</v>
      </c>
      <c r="E129">
        <v>0.33169999999999999</v>
      </c>
      <c r="F129">
        <f>TRUNC(28.64,2)</f>
        <v>28.64</v>
      </c>
      <c r="G129">
        <f t="shared" si="3"/>
        <v>9.49</v>
      </c>
    </row>
    <row r="130" spans="1:99">
      <c r="B130" t="s">
        <v>163</v>
      </c>
      <c r="C130" s="1" t="s">
        <v>164</v>
      </c>
      <c r="D130" t="s">
        <v>0</v>
      </c>
      <c r="E130">
        <v>0.22559999999999999</v>
      </c>
      <c r="F130">
        <f>TRUNC(28.52,2)</f>
        <v>28.52</v>
      </c>
      <c r="G130">
        <f t="shared" si="3"/>
        <v>6.43</v>
      </c>
    </row>
    <row r="131" spans="1:99" s="24" customFormat="1" ht="30">
      <c r="A131" s="81"/>
      <c r="B131" s="24" t="s">
        <v>165</v>
      </c>
      <c r="C131" s="82" t="s">
        <v>219</v>
      </c>
      <c r="D131" s="24" t="s">
        <v>66</v>
      </c>
      <c r="E131" s="24">
        <v>9.7000000000000003E-2</v>
      </c>
      <c r="F131" s="24">
        <f>TRUNC(374.3,2)</f>
        <v>374.3</v>
      </c>
      <c r="G131" s="24">
        <f>TRUNC(E131*F131,2)</f>
        <v>36.299999999999997</v>
      </c>
      <c r="J131" s="29">
        <f>E131</f>
        <v>9.7000000000000003E-2</v>
      </c>
      <c r="K131" s="29">
        <v>100</v>
      </c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</row>
    <row r="132" spans="1:99">
      <c r="E132" t="s">
        <v>1</v>
      </c>
      <c r="G132">
        <f>TRUNC(SUM(G124:G131),2)</f>
        <v>75.150000000000006</v>
      </c>
      <c r="J132" s="28">
        <f>(J131*K132)/K131</f>
        <v>7.7600000000000002E-2</v>
      </c>
      <c r="K132" s="28">
        <v>80</v>
      </c>
    </row>
    <row r="133" spans="1:99" s="78" customFormat="1" ht="45">
      <c r="A133" s="79" t="s">
        <v>138</v>
      </c>
      <c r="B133" s="83" t="s">
        <v>166</v>
      </c>
      <c r="C133" s="80" t="s">
        <v>312</v>
      </c>
      <c r="D133" s="78" t="s">
        <v>27</v>
      </c>
      <c r="E133" s="78">
        <v>4.8</v>
      </c>
      <c r="F133" s="78">
        <f>TRUNC(G141,2)</f>
        <v>128.66999999999999</v>
      </c>
      <c r="G133" s="78">
        <f>TRUNC(F133*1.2247,2)</f>
        <v>157.58000000000001</v>
      </c>
      <c r="H133" s="78">
        <f>TRUNC((E133*F133),2)</f>
        <v>617.61</v>
      </c>
      <c r="I133" s="78">
        <f>TRUNC((E133*G133),2)</f>
        <v>756.38</v>
      </c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7"/>
      <c r="BX133" s="77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77"/>
      <c r="CQ133" s="77"/>
      <c r="CR133" s="77"/>
      <c r="CS133" s="77"/>
      <c r="CT133" s="77"/>
      <c r="CU133" s="77"/>
    </row>
    <row r="134" spans="1:99">
      <c r="B134" t="s">
        <v>168</v>
      </c>
      <c r="C134" s="1" t="s">
        <v>169</v>
      </c>
      <c r="D134" t="s">
        <v>27</v>
      </c>
      <c r="E134">
        <v>1.05</v>
      </c>
      <c r="F134">
        <f>TRUNC(61.8,2)</f>
        <v>61.8</v>
      </c>
      <c r="G134">
        <f t="shared" ref="G134:G140" si="4">TRUNC(E134*F134,2)</f>
        <v>64.89</v>
      </c>
    </row>
    <row r="135" spans="1:99">
      <c r="B135" t="s">
        <v>170</v>
      </c>
      <c r="C135" s="1" t="s">
        <v>171</v>
      </c>
      <c r="D135" t="s">
        <v>43</v>
      </c>
      <c r="E135">
        <v>0.1</v>
      </c>
      <c r="F135">
        <f>TRUNC(38,2)</f>
        <v>38</v>
      </c>
      <c r="G135">
        <f t="shared" si="4"/>
        <v>3.8</v>
      </c>
    </row>
    <row r="136" spans="1:99">
      <c r="B136" t="s">
        <v>172</v>
      </c>
      <c r="C136" s="1" t="s">
        <v>173</v>
      </c>
      <c r="D136" t="s">
        <v>43</v>
      </c>
      <c r="E136">
        <v>0.1</v>
      </c>
      <c r="F136">
        <f>TRUNC(1.4,2)</f>
        <v>1.4</v>
      </c>
      <c r="G136">
        <f t="shared" si="4"/>
        <v>0.14000000000000001</v>
      </c>
    </row>
    <row r="137" spans="1:99">
      <c r="B137" t="s">
        <v>31</v>
      </c>
      <c r="C137" s="1" t="s">
        <v>32</v>
      </c>
      <c r="D137" t="s">
        <v>0</v>
      </c>
      <c r="E137">
        <v>1.1330000000000002</v>
      </c>
      <c r="F137">
        <f>TRUNC(15.69,2)</f>
        <v>15.69</v>
      </c>
      <c r="G137">
        <f t="shared" si="4"/>
        <v>17.77</v>
      </c>
    </row>
    <row r="138" spans="1:99">
      <c r="B138" t="s">
        <v>174</v>
      </c>
      <c r="C138" s="1" t="s">
        <v>175</v>
      </c>
      <c r="D138" t="s">
        <v>0</v>
      </c>
      <c r="E138">
        <v>1.1330000000000002</v>
      </c>
      <c r="F138">
        <f>TRUNC(23.32,2)</f>
        <v>23.32</v>
      </c>
      <c r="G138">
        <f t="shared" si="4"/>
        <v>26.42</v>
      </c>
    </row>
    <row r="139" spans="1:99">
      <c r="B139" t="s">
        <v>176</v>
      </c>
      <c r="C139" s="1" t="s">
        <v>177</v>
      </c>
      <c r="D139" t="s">
        <v>66</v>
      </c>
      <c r="E139">
        <v>3.5000000000000003E-2</v>
      </c>
      <c r="F139">
        <f>TRUNC(403.9234,2)</f>
        <v>403.92</v>
      </c>
      <c r="G139">
        <f t="shared" si="4"/>
        <v>14.13</v>
      </c>
    </row>
    <row r="140" spans="1:99">
      <c r="B140" t="s">
        <v>178</v>
      </c>
      <c r="C140" s="1" t="s">
        <v>179</v>
      </c>
      <c r="D140" t="s">
        <v>66</v>
      </c>
      <c r="E140">
        <v>2E-3</v>
      </c>
      <c r="F140">
        <f>TRUNC(761.1963,2)</f>
        <v>761.19</v>
      </c>
      <c r="G140">
        <f t="shared" si="4"/>
        <v>1.52</v>
      </c>
    </row>
    <row r="141" spans="1:99">
      <c r="E141" t="s">
        <v>1</v>
      </c>
      <c r="G141">
        <f>TRUNC(SUM(G134:G140),2)</f>
        <v>128.66999999999999</v>
      </c>
    </row>
    <row r="142" spans="1:99" s="76" customFormat="1">
      <c r="A142" s="92" t="s">
        <v>62</v>
      </c>
      <c r="C142" s="93"/>
      <c r="F142" s="76" t="s">
        <v>63</v>
      </c>
      <c r="H142" s="76">
        <f>SUM(H108:H133)</f>
        <v>12528.970000000001</v>
      </c>
      <c r="I142" s="76">
        <f>SUM(I108:I133)</f>
        <v>15343.28</v>
      </c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75"/>
      <c r="BR142" s="75"/>
      <c r="BS142" s="75"/>
      <c r="BT142" s="75"/>
      <c r="BU142" s="75"/>
      <c r="BV142" s="75"/>
      <c r="BW142" s="75"/>
      <c r="BX142" s="75"/>
      <c r="BY142" s="75"/>
      <c r="BZ142" s="75"/>
      <c r="CA142" s="75"/>
      <c r="CB142" s="75"/>
      <c r="CC142" s="75"/>
      <c r="CD142" s="75"/>
      <c r="CE142" s="75"/>
      <c r="CF142" s="75"/>
      <c r="CG142" s="75"/>
      <c r="CH142" s="75"/>
      <c r="CI142" s="75"/>
      <c r="CJ142" s="75"/>
      <c r="CK142" s="75"/>
      <c r="CL142" s="75"/>
      <c r="CM142" s="75"/>
      <c r="CN142" s="75"/>
      <c r="CO142" s="75"/>
      <c r="CP142" s="75"/>
      <c r="CQ142" s="75"/>
      <c r="CR142" s="75"/>
      <c r="CS142" s="75"/>
      <c r="CT142" s="75"/>
      <c r="CU142" s="75"/>
    </row>
    <row r="143" spans="1:99" s="91" customFormat="1" ht="15.75">
      <c r="A143" s="84" t="s">
        <v>180</v>
      </c>
      <c r="B143" s="85"/>
      <c r="C143" s="86" t="s">
        <v>196</v>
      </c>
      <c r="D143" s="85"/>
      <c r="E143" s="85"/>
      <c r="F143" s="85"/>
      <c r="G143" s="87"/>
      <c r="H143" s="88"/>
      <c r="I143" s="89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0"/>
      <c r="BZ143" s="90"/>
      <c r="CA143" s="90"/>
      <c r="CB143" s="90"/>
      <c r="CC143" s="90"/>
      <c r="CD143" s="90"/>
      <c r="CE143" s="90"/>
      <c r="CF143" s="90"/>
      <c r="CG143" s="90"/>
      <c r="CH143" s="90"/>
      <c r="CI143" s="90"/>
      <c r="CJ143" s="90"/>
      <c r="CK143" s="90"/>
      <c r="CL143" s="90"/>
      <c r="CM143" s="90"/>
      <c r="CN143" s="90"/>
      <c r="CO143" s="90"/>
      <c r="CP143" s="90"/>
      <c r="CQ143" s="90"/>
      <c r="CR143" s="90"/>
      <c r="CS143" s="90"/>
      <c r="CT143" s="90"/>
      <c r="CU143" s="90"/>
    </row>
    <row r="144" spans="1:99" s="78" customFormat="1" ht="30">
      <c r="A144" s="79" t="s">
        <v>181</v>
      </c>
      <c r="B144" s="83" t="s">
        <v>183</v>
      </c>
      <c r="C144" s="80" t="s">
        <v>184</v>
      </c>
      <c r="D144" s="78" t="s">
        <v>66</v>
      </c>
      <c r="E144" s="78">
        <v>25</v>
      </c>
      <c r="F144" s="78">
        <f>TRUNC(G146,2)</f>
        <v>26.66</v>
      </c>
      <c r="G144" s="78">
        <f>TRUNC(F144*1.2247,2)</f>
        <v>32.65</v>
      </c>
      <c r="H144" s="78">
        <f>TRUNC((E144*F144),2)</f>
        <v>666.5</v>
      </c>
      <c r="I144" s="78">
        <f>TRUNC((E144*G144),2)</f>
        <v>816.25</v>
      </c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  <c r="BC144" s="77"/>
      <c r="BD144" s="77"/>
      <c r="BE144" s="77"/>
      <c r="BF144" s="77"/>
      <c r="BG144" s="77"/>
      <c r="BH144" s="77"/>
      <c r="BI144" s="77"/>
      <c r="BJ144" s="77"/>
      <c r="BK144" s="77"/>
      <c r="BL144" s="77"/>
      <c r="BM144" s="77"/>
      <c r="BN144" s="77"/>
      <c r="BO144" s="77"/>
      <c r="BP144" s="77"/>
      <c r="BQ144" s="77"/>
      <c r="BR144" s="77"/>
      <c r="BS144" s="77"/>
      <c r="BT144" s="77"/>
      <c r="BU144" s="77"/>
      <c r="BV144" s="77"/>
      <c r="BW144" s="77"/>
      <c r="BX144" s="77"/>
      <c r="BY144" s="77"/>
      <c r="BZ144" s="77"/>
      <c r="CA144" s="77"/>
      <c r="CB144" s="77"/>
      <c r="CC144" s="77"/>
      <c r="CD144" s="77"/>
      <c r="CE144" s="77"/>
      <c r="CF144" s="77"/>
      <c r="CG144" s="77"/>
      <c r="CH144" s="77"/>
      <c r="CI144" s="77"/>
      <c r="CJ144" s="77"/>
      <c r="CK144" s="77"/>
      <c r="CL144" s="77"/>
      <c r="CM144" s="77"/>
      <c r="CN144" s="77"/>
      <c r="CO144" s="77"/>
      <c r="CP144" s="77"/>
      <c r="CQ144" s="77"/>
      <c r="CR144" s="77"/>
      <c r="CS144" s="77"/>
      <c r="CT144" s="77"/>
      <c r="CU144" s="77"/>
    </row>
    <row r="145" spans="1:99">
      <c r="B145" t="s">
        <v>31</v>
      </c>
      <c r="C145" s="1" t="s">
        <v>32</v>
      </c>
      <c r="D145" t="s">
        <v>0</v>
      </c>
      <c r="E145">
        <v>1.6995</v>
      </c>
      <c r="F145">
        <f>TRUNC(15.69,2)</f>
        <v>15.69</v>
      </c>
      <c r="G145">
        <f>TRUNC(E145*F145,2)</f>
        <v>26.66</v>
      </c>
    </row>
    <row r="146" spans="1:99">
      <c r="E146" t="s">
        <v>1</v>
      </c>
      <c r="G146">
        <f>TRUNC(SUM(G145:G145),2)</f>
        <v>26.66</v>
      </c>
    </row>
    <row r="147" spans="1:99" s="78" customFormat="1" ht="45">
      <c r="A147" s="79" t="s">
        <v>182</v>
      </c>
      <c r="B147" s="83" t="s">
        <v>185</v>
      </c>
      <c r="C147" s="80" t="s">
        <v>186</v>
      </c>
      <c r="D147" s="78" t="s">
        <v>3</v>
      </c>
      <c r="E147" s="78">
        <v>5</v>
      </c>
      <c r="F147" s="78">
        <f>TRUNC(G150,2)</f>
        <v>249.69</v>
      </c>
      <c r="G147" s="78">
        <f>TRUNC(F147*1.2247,2)</f>
        <v>305.79000000000002</v>
      </c>
      <c r="H147" s="78">
        <f>TRUNC((E147*F147),2)</f>
        <v>1248.45</v>
      </c>
      <c r="I147" s="78">
        <f>TRUNC((E147*G147),2)</f>
        <v>1528.95</v>
      </c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  <c r="BI147" s="77"/>
      <c r="BJ147" s="77"/>
      <c r="BK147" s="77"/>
      <c r="BL147" s="77"/>
      <c r="BM147" s="77"/>
      <c r="BN147" s="77"/>
      <c r="BO147" s="77"/>
      <c r="BP147" s="77"/>
      <c r="BQ147" s="77"/>
      <c r="BR147" s="77"/>
      <c r="BS147" s="77"/>
      <c r="BT147" s="77"/>
      <c r="BU147" s="77"/>
      <c r="BV147" s="77"/>
      <c r="BW147" s="77"/>
      <c r="BX147" s="77"/>
      <c r="BY147" s="77"/>
      <c r="BZ147" s="77"/>
      <c r="CA147" s="77"/>
      <c r="CB147" s="77"/>
      <c r="CC147" s="77"/>
      <c r="CD147" s="77"/>
      <c r="CE147" s="77"/>
      <c r="CF147" s="77"/>
      <c r="CG147" s="77"/>
      <c r="CH147" s="77"/>
      <c r="CI147" s="77"/>
      <c r="CJ147" s="77"/>
      <c r="CK147" s="77"/>
      <c r="CL147" s="77"/>
      <c r="CM147" s="77"/>
      <c r="CN147" s="77"/>
      <c r="CO147" s="77"/>
      <c r="CP147" s="77"/>
      <c r="CQ147" s="77"/>
      <c r="CR147" s="77"/>
      <c r="CS147" s="77"/>
      <c r="CT147" s="77"/>
      <c r="CU147" s="77"/>
    </row>
    <row r="148" spans="1:99">
      <c r="B148" t="s">
        <v>31</v>
      </c>
      <c r="C148" s="1" t="s">
        <v>32</v>
      </c>
      <c r="D148" t="s">
        <v>0</v>
      </c>
      <c r="E148">
        <v>0.61799999999999999</v>
      </c>
      <c r="F148">
        <f>TRUNC(15.69,2)</f>
        <v>15.69</v>
      </c>
      <c r="G148">
        <f>TRUNC(E148*F148,2)</f>
        <v>9.69</v>
      </c>
    </row>
    <row r="149" spans="1:99" ht="30">
      <c r="B149" t="s">
        <v>187</v>
      </c>
      <c r="C149" s="1" t="s">
        <v>188</v>
      </c>
      <c r="D149" t="s">
        <v>3</v>
      </c>
      <c r="E149">
        <v>1</v>
      </c>
      <c r="F149">
        <f>TRUNC(240,2)</f>
        <v>240</v>
      </c>
      <c r="G149">
        <f>TRUNC(E149*F149,2)</f>
        <v>240</v>
      </c>
    </row>
    <row r="150" spans="1:99">
      <c r="E150" t="s">
        <v>1</v>
      </c>
      <c r="G150">
        <f>TRUNC(SUM(G148:G149),2)</f>
        <v>249.69</v>
      </c>
    </row>
    <row r="151" spans="1:99" s="76" customFormat="1">
      <c r="A151" s="92" t="s">
        <v>24</v>
      </c>
      <c r="C151" s="93"/>
      <c r="D151" s="76" t="s">
        <v>63</v>
      </c>
      <c r="H151" s="76">
        <f>SUM(H144:H147)</f>
        <v>1914.95</v>
      </c>
      <c r="I151" s="76">
        <f>SUM(I144:I147)</f>
        <v>2345.1999999999998</v>
      </c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75"/>
      <c r="BT151" s="75"/>
      <c r="BU151" s="75"/>
      <c r="BV151" s="75"/>
      <c r="BW151" s="75"/>
      <c r="BX151" s="75"/>
      <c r="BY151" s="75"/>
      <c r="BZ151" s="75"/>
      <c r="CA151" s="75"/>
      <c r="CB151" s="75"/>
      <c r="CC151" s="75"/>
      <c r="CD151" s="75"/>
      <c r="CE151" s="75"/>
      <c r="CF151" s="75"/>
      <c r="CG151" s="75"/>
      <c r="CH151" s="75"/>
      <c r="CI151" s="75"/>
      <c r="CJ151" s="75"/>
      <c r="CK151" s="75"/>
      <c r="CL151" s="75"/>
      <c r="CM151" s="75"/>
      <c r="CN151" s="75"/>
      <c r="CO151" s="75"/>
      <c r="CP151" s="75"/>
      <c r="CQ151" s="75"/>
      <c r="CR151" s="75"/>
      <c r="CS151" s="75"/>
      <c r="CT151" s="75"/>
      <c r="CU151" s="75"/>
    </row>
    <row r="152" spans="1:99" s="76" customFormat="1">
      <c r="A152" s="92" t="s">
        <v>24</v>
      </c>
      <c r="C152" s="93"/>
      <c r="D152" s="76" t="s">
        <v>25</v>
      </c>
      <c r="H152" s="76">
        <f>H43+H62+H77+H97+H106+H142+H151</f>
        <v>37308.35</v>
      </c>
      <c r="I152" s="76">
        <f>I43+I62+I77+I97+I106+I142+I151</f>
        <v>45689.84</v>
      </c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  <c r="BU152" s="75"/>
      <c r="BV152" s="75"/>
      <c r="BW152" s="75"/>
      <c r="BX152" s="75"/>
      <c r="BY152" s="75"/>
      <c r="BZ152" s="75"/>
      <c r="CA152" s="75"/>
      <c r="CB152" s="75"/>
      <c r="CC152" s="75"/>
      <c r="CD152" s="75"/>
      <c r="CE152" s="75"/>
      <c r="CF152" s="75"/>
      <c r="CG152" s="75"/>
      <c r="CH152" s="75"/>
      <c r="CI152" s="75"/>
      <c r="CJ152" s="75"/>
      <c r="CK152" s="75"/>
      <c r="CL152" s="75"/>
      <c r="CM152" s="75"/>
      <c r="CN152" s="75"/>
      <c r="CO152" s="75"/>
      <c r="CP152" s="75"/>
      <c r="CQ152" s="75"/>
      <c r="CR152" s="75"/>
      <c r="CS152" s="75"/>
      <c r="CT152" s="75"/>
      <c r="CU152" s="75"/>
    </row>
    <row r="163" ht="21.75" customHeight="1"/>
  </sheetData>
  <mergeCells count="13">
    <mergeCell ref="F10:I10"/>
    <mergeCell ref="A9:I9"/>
    <mergeCell ref="A10:A11"/>
    <mergeCell ref="B10:B11"/>
    <mergeCell ref="C10:C11"/>
    <mergeCell ref="D10:D11"/>
    <mergeCell ref="E10:E11"/>
    <mergeCell ref="D3:H3"/>
    <mergeCell ref="D4:H4"/>
    <mergeCell ref="D5:H5"/>
    <mergeCell ref="D6:H6"/>
    <mergeCell ref="D7:H7"/>
    <mergeCell ref="D8:H8"/>
  </mergeCells>
  <pageMargins left="0.51181102362204722" right="0.51181102362204722" top="0.78740157480314965" bottom="0.78740157480314965" header="0.31496062992125984" footer="0.31496062992125984"/>
  <pageSetup paperSize="9" scale="56" fitToHeight="1000" orientation="landscape" horizontalDpi="4294967293" r:id="rId1"/>
  <headerFooter>
    <oddFooter>&amp;C&amp;A&amp;RPágina &amp;P de &amp;N</oddFooter>
  </headerFooter>
  <rowBreaks count="1" manualBreakCount="1">
    <brk id="10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DESONERADO</vt:lpstr>
      <vt:lpstr>DESONERADO RESUMIDA</vt:lpstr>
      <vt:lpstr>Cronograma </vt:lpstr>
      <vt:lpstr>ONERADO</vt:lpstr>
      <vt:lpstr>'Cronograma '!Area_de_impressao</vt:lpstr>
      <vt:lpstr>DESONERADO!Area_de_impressao</vt:lpstr>
      <vt:lpstr>'DESONERADO RESUMIDA'!Area_de_impressao</vt:lpstr>
      <vt:lpstr>ONERADO!Area_de_impressao</vt:lpstr>
      <vt:lpstr>'Cronograma '!Titulos_de_impressao</vt:lpstr>
      <vt:lpstr>DESONERADO!Titulos_de_impressao</vt:lpstr>
      <vt:lpstr>'DESONERADO RESUMIDA'!Titulos_de_impressao</vt:lpstr>
      <vt:lpstr>ONERADO!Titulos_de_impressao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Antonio Nicolau Macedo Cunha</dc:creator>
  <cp:lastModifiedBy>Lelia Mada Costa Nogueira</cp:lastModifiedBy>
  <cp:lastPrinted>2021-02-10T16:50:23Z</cp:lastPrinted>
  <dcterms:created xsi:type="dcterms:W3CDTF">2017-11-22T13:14:51Z</dcterms:created>
  <dcterms:modified xsi:type="dcterms:W3CDTF">2021-05-05T16:25:23Z</dcterms:modified>
</cp:coreProperties>
</file>